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dfs-01\documentos\SGA\SEGESP\Documentos\divisao de contr e folha\TABELAS VENCIMENTOS\"/>
    </mc:Choice>
  </mc:AlternateContent>
  <bookViews>
    <workbookView xWindow="0" yWindow="0" windowWidth="20490" windowHeight="6900" tabRatio="893"/>
  </bookViews>
  <sheets>
    <sheet name="Lei 6.353-2026 com Reajuste 5%" sheetId="15" r:id="rId1"/>
    <sheet name="Lei 1023.2019" sheetId="1" r:id="rId2"/>
    <sheet name="Res. 306.2019" sheetId="4" r:id="rId3"/>
    <sheet name="Auxilios e IET." sheetId="5" r:id="rId4"/>
    <sheet name="Lei 5.319.2022" sheetId="2" r:id="rId5"/>
    <sheet name="Lei 5.540.2023" sheetId="6" r:id="rId6"/>
    <sheet name="Lei 1.218.2024" sheetId="8" r:id="rId7"/>
    <sheet name="Lei 1.218 com Reajuste 4,62%" sheetId="9" r:id="rId8"/>
    <sheet name="Planilha2" sheetId="7" r:id="rId9"/>
    <sheet name="Siedos" sheetId="3" r:id="rId10"/>
    <sheet name="Lei 6.001 com Reajuste 5%" sheetId="12" r:id="rId11"/>
    <sheet name="Gratificação qualificação" sheetId="13" r:id="rId12"/>
    <sheet name="Vencimento" sheetId="14" r:id="rId13"/>
  </sheets>
  <definedNames>
    <definedName name="_xlnm._FilterDatabase" localSheetId="11" hidden="1">'Gratificação qualificação'!$A$2:$H$1021</definedName>
    <definedName name="_xlnm._FilterDatabase" localSheetId="8" hidden="1">Planilha2!$A$2:$G$2</definedName>
    <definedName name="_xlnm._FilterDatabase" localSheetId="12" hidden="1">Vencimento!$A$2:$G$406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" i="12" l="1"/>
  <c r="D161" i="12" l="1"/>
  <c r="D162" i="12"/>
  <c r="D163" i="12"/>
  <c r="D164" i="12"/>
  <c r="F161" i="12"/>
  <c r="E164" i="12"/>
  <c r="D298" i="12"/>
  <c r="D302" i="12"/>
  <c r="G85" i="12" l="1"/>
  <c r="G84" i="12"/>
  <c r="G83" i="12"/>
  <c r="F85" i="12"/>
  <c r="F84" i="12"/>
  <c r="F83" i="12"/>
  <c r="I59" i="12"/>
  <c r="I60" i="12"/>
  <c r="I61" i="12"/>
  <c r="I62" i="12"/>
  <c r="I63" i="12"/>
  <c r="I64" i="12"/>
  <c r="I65" i="12"/>
  <c r="I66" i="12"/>
  <c r="I58" i="12"/>
  <c r="H63" i="12"/>
  <c r="H64" i="12"/>
  <c r="H65" i="12"/>
  <c r="H66" i="12"/>
  <c r="I38" i="12"/>
  <c r="I39" i="12"/>
  <c r="I40" i="12"/>
  <c r="I41" i="12"/>
  <c r="H249" i="12" l="1"/>
  <c r="H250" i="12"/>
  <c r="H251" i="12"/>
  <c r="H252" i="12"/>
  <c r="H253" i="12"/>
  <c r="H254" i="12"/>
  <c r="H228" i="12" l="1"/>
  <c r="H229" i="12"/>
  <c r="H230" i="12"/>
  <c r="H231" i="12"/>
  <c r="H232" i="12"/>
  <c r="H233" i="12"/>
  <c r="G168" i="12" l="1"/>
  <c r="F168" i="12"/>
  <c r="E168" i="12"/>
  <c r="D168" i="12"/>
  <c r="G167" i="12"/>
  <c r="F167" i="12"/>
  <c r="E167" i="12"/>
  <c r="D167" i="12"/>
  <c r="G166" i="12"/>
  <c r="F166" i="12"/>
  <c r="E166" i="12"/>
  <c r="D166" i="12"/>
  <c r="G165" i="12"/>
  <c r="F165" i="12"/>
  <c r="E165" i="12"/>
  <c r="D165" i="12"/>
  <c r="G164" i="12"/>
  <c r="F164" i="12"/>
  <c r="G163" i="12"/>
  <c r="F163" i="12"/>
  <c r="E163" i="12"/>
  <c r="G162" i="12"/>
  <c r="F162" i="12"/>
  <c r="E162" i="12"/>
  <c r="G161" i="12"/>
  <c r="E161" i="12"/>
  <c r="C302" i="12"/>
  <c r="D301" i="12"/>
  <c r="C301" i="12"/>
  <c r="D300" i="12"/>
  <c r="C300" i="12"/>
  <c r="D299" i="12"/>
  <c r="C299" i="12"/>
  <c r="C298" i="12"/>
  <c r="D297" i="12"/>
  <c r="C297" i="12"/>
  <c r="D296" i="12"/>
  <c r="C296" i="12"/>
  <c r="D295" i="12"/>
  <c r="C295" i="12"/>
  <c r="D294" i="12"/>
  <c r="C294" i="12"/>
  <c r="H284" i="12"/>
  <c r="G284" i="12"/>
  <c r="F284" i="12"/>
  <c r="E284" i="12"/>
  <c r="H283" i="12"/>
  <c r="G283" i="12"/>
  <c r="F283" i="12"/>
  <c r="E283" i="12"/>
  <c r="H282" i="12"/>
  <c r="G282" i="12"/>
  <c r="F282" i="12"/>
  <c r="E282" i="12"/>
  <c r="H281" i="12"/>
  <c r="G281" i="12"/>
  <c r="F281" i="12"/>
  <c r="E281" i="12"/>
  <c r="H280" i="12"/>
  <c r="G280" i="12"/>
  <c r="F280" i="12"/>
  <c r="E280" i="12"/>
  <c r="H279" i="12"/>
  <c r="G279" i="12"/>
  <c r="F279" i="12"/>
  <c r="E279" i="12"/>
  <c r="H278" i="12"/>
  <c r="G278" i="12"/>
  <c r="F278" i="12"/>
  <c r="E278" i="12"/>
  <c r="H277" i="12"/>
  <c r="G277" i="12"/>
  <c r="F277" i="12"/>
  <c r="E277" i="12"/>
  <c r="H276" i="12"/>
  <c r="G276" i="12"/>
  <c r="F276" i="12"/>
  <c r="E276" i="12"/>
  <c r="H275" i="12"/>
  <c r="G275" i="12"/>
  <c r="F275" i="12"/>
  <c r="E275" i="12"/>
  <c r="H274" i="12"/>
  <c r="G274" i="12"/>
  <c r="F274" i="12"/>
  <c r="E274" i="12"/>
  <c r="H273" i="12"/>
  <c r="G273" i="12"/>
  <c r="F273" i="12"/>
  <c r="E273" i="12"/>
  <c r="H272" i="12"/>
  <c r="G272" i="12"/>
  <c r="F272" i="12"/>
  <c r="E272" i="12"/>
  <c r="H271" i="12"/>
  <c r="G271" i="12"/>
  <c r="F271" i="12"/>
  <c r="E271" i="12"/>
  <c r="H270" i="12"/>
  <c r="G270" i="12"/>
  <c r="F270" i="12"/>
  <c r="E270" i="12"/>
  <c r="H269" i="12"/>
  <c r="G269" i="12"/>
  <c r="F269" i="12"/>
  <c r="E269" i="12"/>
  <c r="H268" i="12"/>
  <c r="G268" i="12"/>
  <c r="F268" i="12"/>
  <c r="E268" i="12"/>
  <c r="H267" i="12"/>
  <c r="G267" i="12"/>
  <c r="F267" i="12"/>
  <c r="E267" i="12"/>
  <c r="H260" i="12"/>
  <c r="G260" i="12"/>
  <c r="F260" i="12"/>
  <c r="E260" i="12"/>
  <c r="H259" i="12"/>
  <c r="G259" i="12"/>
  <c r="F259" i="12"/>
  <c r="E259" i="12"/>
  <c r="H258" i="12"/>
  <c r="G258" i="12"/>
  <c r="F258" i="12"/>
  <c r="E258" i="12"/>
  <c r="H257" i="12"/>
  <c r="G257" i="12"/>
  <c r="F257" i="12"/>
  <c r="E257" i="12"/>
  <c r="H256" i="12"/>
  <c r="G256" i="12"/>
  <c r="F256" i="12"/>
  <c r="E256" i="12"/>
  <c r="H255" i="12"/>
  <c r="G255" i="12"/>
  <c r="F255" i="12"/>
  <c r="E255" i="12"/>
  <c r="G254" i="12"/>
  <c r="F254" i="12"/>
  <c r="E254" i="12"/>
  <c r="G253" i="12"/>
  <c r="F253" i="12"/>
  <c r="E253" i="12"/>
  <c r="G252" i="12"/>
  <c r="F252" i="12"/>
  <c r="E252" i="12"/>
  <c r="G251" i="12"/>
  <c r="F251" i="12"/>
  <c r="E251" i="12"/>
  <c r="G250" i="12"/>
  <c r="F250" i="12"/>
  <c r="E250" i="12"/>
  <c r="G249" i="12"/>
  <c r="F249" i="12"/>
  <c r="E249" i="12"/>
  <c r="H248" i="12"/>
  <c r="G248" i="12"/>
  <c r="F248" i="12"/>
  <c r="E248" i="12"/>
  <c r="H247" i="12"/>
  <c r="G247" i="12"/>
  <c r="F247" i="12"/>
  <c r="E247" i="12"/>
  <c r="H246" i="12"/>
  <c r="G246" i="12"/>
  <c r="F246" i="12"/>
  <c r="E246" i="12"/>
  <c r="H245" i="12"/>
  <c r="G245" i="12"/>
  <c r="F245" i="12"/>
  <c r="E245" i="12"/>
  <c r="H244" i="12"/>
  <c r="G244" i="12"/>
  <c r="F244" i="12"/>
  <c r="E244" i="12"/>
  <c r="H243" i="12"/>
  <c r="G243" i="12"/>
  <c r="F243" i="12"/>
  <c r="E243" i="12"/>
  <c r="H239" i="12"/>
  <c r="G239" i="12"/>
  <c r="F239" i="12"/>
  <c r="H238" i="12"/>
  <c r="G238" i="12"/>
  <c r="F238" i="12"/>
  <c r="E238" i="12"/>
  <c r="H237" i="12"/>
  <c r="G237" i="12"/>
  <c r="F237" i="12"/>
  <c r="E237" i="12"/>
  <c r="H236" i="12"/>
  <c r="G236" i="12"/>
  <c r="F236" i="12"/>
  <c r="E236" i="12"/>
  <c r="H235" i="12"/>
  <c r="G235" i="12"/>
  <c r="F235" i="12"/>
  <c r="E235" i="12"/>
  <c r="H234" i="12"/>
  <c r="G234" i="12"/>
  <c r="F234" i="12"/>
  <c r="E234" i="12"/>
  <c r="G233" i="12"/>
  <c r="F233" i="12"/>
  <c r="E233" i="12"/>
  <c r="G232" i="12"/>
  <c r="F232" i="12"/>
  <c r="E232" i="12"/>
  <c r="G231" i="12"/>
  <c r="F231" i="12"/>
  <c r="E231" i="12"/>
  <c r="G230" i="12"/>
  <c r="F230" i="12"/>
  <c r="E230" i="12"/>
  <c r="G229" i="12"/>
  <c r="F229" i="12"/>
  <c r="E229" i="12"/>
  <c r="G228" i="12"/>
  <c r="F228" i="12"/>
  <c r="E228" i="12"/>
  <c r="H227" i="12"/>
  <c r="G227" i="12"/>
  <c r="F227" i="12"/>
  <c r="E227" i="12"/>
  <c r="H226" i="12"/>
  <c r="G226" i="12"/>
  <c r="F226" i="12"/>
  <c r="E226" i="12"/>
  <c r="H225" i="12"/>
  <c r="G225" i="12"/>
  <c r="F225" i="12"/>
  <c r="E225" i="12"/>
  <c r="H224" i="12"/>
  <c r="G224" i="12"/>
  <c r="F224" i="12"/>
  <c r="E224" i="12"/>
  <c r="H223" i="12"/>
  <c r="G223" i="12"/>
  <c r="F223" i="12"/>
  <c r="E223" i="12"/>
  <c r="H222" i="12"/>
  <c r="G222" i="12"/>
  <c r="F222" i="12"/>
  <c r="E222" i="12"/>
  <c r="H219" i="12"/>
  <c r="G219" i="12"/>
  <c r="F219" i="12"/>
  <c r="E219" i="12"/>
  <c r="H218" i="12"/>
  <c r="G218" i="12"/>
  <c r="F218" i="12"/>
  <c r="E218" i="12"/>
  <c r="H217" i="12"/>
  <c r="G217" i="12"/>
  <c r="F217" i="12"/>
  <c r="E217" i="12"/>
  <c r="H216" i="12"/>
  <c r="G216" i="12"/>
  <c r="F216" i="12"/>
  <c r="E216" i="12"/>
  <c r="H215" i="12"/>
  <c r="G215" i="12"/>
  <c r="F215" i="12"/>
  <c r="E215" i="12"/>
  <c r="H214" i="12"/>
  <c r="G214" i="12"/>
  <c r="F214" i="12"/>
  <c r="E214" i="12"/>
  <c r="H213" i="12"/>
  <c r="G213" i="12"/>
  <c r="F213" i="12"/>
  <c r="E213" i="12"/>
  <c r="H212" i="12"/>
  <c r="G212" i="12"/>
  <c r="F212" i="12"/>
  <c r="E212" i="12"/>
  <c r="H211" i="12"/>
  <c r="G211" i="12"/>
  <c r="F211" i="12"/>
  <c r="E211" i="12"/>
  <c r="H210" i="12"/>
  <c r="G210" i="12"/>
  <c r="F210" i="12"/>
  <c r="E210" i="12"/>
  <c r="H209" i="12"/>
  <c r="G209" i="12"/>
  <c r="F209" i="12"/>
  <c r="E209" i="12"/>
  <c r="H208" i="12"/>
  <c r="G208" i="12"/>
  <c r="F208" i="12"/>
  <c r="E208" i="12"/>
  <c r="H207" i="12"/>
  <c r="G207" i="12"/>
  <c r="F207" i="12"/>
  <c r="E207" i="12"/>
  <c r="H206" i="12"/>
  <c r="G206" i="12"/>
  <c r="F206" i="12"/>
  <c r="E206" i="12"/>
  <c r="H205" i="12"/>
  <c r="G205" i="12"/>
  <c r="F205" i="12"/>
  <c r="E205" i="12"/>
  <c r="H204" i="12"/>
  <c r="G204" i="12"/>
  <c r="F204" i="12"/>
  <c r="E204" i="12"/>
  <c r="H203" i="12"/>
  <c r="G203" i="12"/>
  <c r="F203" i="12"/>
  <c r="E203" i="12"/>
  <c r="H202" i="12"/>
  <c r="G202" i="12"/>
  <c r="F202" i="12"/>
  <c r="E202" i="12"/>
  <c r="G193" i="12"/>
  <c r="F193" i="12"/>
  <c r="E193" i="12"/>
  <c r="G192" i="12"/>
  <c r="F192" i="12"/>
  <c r="E192" i="12"/>
  <c r="G191" i="12"/>
  <c r="F191" i="12"/>
  <c r="E191" i="12"/>
  <c r="G190" i="12"/>
  <c r="F190" i="12"/>
  <c r="E190" i="12"/>
  <c r="G189" i="12"/>
  <c r="F189" i="12"/>
  <c r="E189" i="12"/>
  <c r="G188" i="12"/>
  <c r="F188" i="12"/>
  <c r="E188" i="12"/>
  <c r="G187" i="12"/>
  <c r="F187" i="12"/>
  <c r="E187" i="12"/>
  <c r="G186" i="12"/>
  <c r="F186" i="12"/>
  <c r="E186" i="12"/>
  <c r="G185" i="12"/>
  <c r="F185" i="12"/>
  <c r="E185" i="12"/>
  <c r="G184" i="12"/>
  <c r="F184" i="12"/>
  <c r="E184" i="12"/>
  <c r="G183" i="12"/>
  <c r="F183" i="12"/>
  <c r="E183" i="12"/>
  <c r="G182" i="12"/>
  <c r="F182" i="12"/>
  <c r="E182" i="12"/>
  <c r="G181" i="12"/>
  <c r="F181" i="12"/>
  <c r="E181" i="12"/>
  <c r="G180" i="12"/>
  <c r="F180" i="12"/>
  <c r="E180" i="12"/>
  <c r="G179" i="12"/>
  <c r="F179" i="12"/>
  <c r="E179" i="12"/>
  <c r="G178" i="12"/>
  <c r="F178" i="12"/>
  <c r="E178" i="12"/>
  <c r="G177" i="12"/>
  <c r="F177" i="12"/>
  <c r="E177" i="12"/>
  <c r="G176" i="12"/>
  <c r="F176" i="12"/>
  <c r="E176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G100" i="12"/>
  <c r="F100" i="12"/>
  <c r="E100" i="12"/>
  <c r="D100" i="12"/>
  <c r="G99" i="12"/>
  <c r="F99" i="12"/>
  <c r="E99" i="12"/>
  <c r="D99" i="12"/>
  <c r="G98" i="12"/>
  <c r="F98" i="12"/>
  <c r="E98" i="12"/>
  <c r="D98" i="12"/>
  <c r="G97" i="12"/>
  <c r="F97" i="12"/>
  <c r="E97" i="12"/>
  <c r="D97" i="12"/>
  <c r="G96" i="12"/>
  <c r="F96" i="12"/>
  <c r="E96" i="12"/>
  <c r="D96" i="12"/>
  <c r="G95" i="12"/>
  <c r="F95" i="12"/>
  <c r="E95" i="12"/>
  <c r="D95" i="12"/>
  <c r="G94" i="12"/>
  <c r="F94" i="12"/>
  <c r="E94" i="12"/>
  <c r="D94" i="12"/>
  <c r="G93" i="12"/>
  <c r="F93" i="12"/>
  <c r="E93" i="12"/>
  <c r="D93" i="12"/>
  <c r="G92" i="12"/>
  <c r="F92" i="12"/>
  <c r="E92" i="12"/>
  <c r="D92" i="12"/>
  <c r="G91" i="12"/>
  <c r="F91" i="12"/>
  <c r="E91" i="12"/>
  <c r="D91" i="12"/>
  <c r="G90" i="12"/>
  <c r="F90" i="12"/>
  <c r="E90" i="12"/>
  <c r="D90" i="12"/>
  <c r="G89" i="12"/>
  <c r="F89" i="12"/>
  <c r="E89" i="12"/>
  <c r="D89" i="12"/>
  <c r="G88" i="12"/>
  <c r="F88" i="12"/>
  <c r="E88" i="12"/>
  <c r="D88" i="12"/>
  <c r="G87" i="12"/>
  <c r="F87" i="12"/>
  <c r="E87" i="12"/>
  <c r="D87" i="12"/>
  <c r="G86" i="12"/>
  <c r="F86" i="12"/>
  <c r="E86" i="12"/>
  <c r="D86" i="12"/>
  <c r="E85" i="12"/>
  <c r="D85" i="12"/>
  <c r="E84" i="12"/>
  <c r="D84" i="12"/>
  <c r="E83" i="12"/>
  <c r="D83" i="12"/>
  <c r="I75" i="12"/>
  <c r="H75" i="12"/>
  <c r="G75" i="12"/>
  <c r="F75" i="12"/>
  <c r="E75" i="12"/>
  <c r="D75" i="12"/>
  <c r="I74" i="12"/>
  <c r="H74" i="12"/>
  <c r="G74" i="12"/>
  <c r="F74" i="12"/>
  <c r="E74" i="12"/>
  <c r="D74" i="12"/>
  <c r="I73" i="12"/>
  <c r="H73" i="12"/>
  <c r="G73" i="12"/>
  <c r="F73" i="12"/>
  <c r="E73" i="12"/>
  <c r="D73" i="12"/>
  <c r="I72" i="12"/>
  <c r="H72" i="12"/>
  <c r="G72" i="12"/>
  <c r="F72" i="12"/>
  <c r="E72" i="12"/>
  <c r="D72" i="12"/>
  <c r="I71" i="12"/>
  <c r="H71" i="12"/>
  <c r="G71" i="12"/>
  <c r="F71" i="12"/>
  <c r="E71" i="12"/>
  <c r="D71" i="12"/>
  <c r="I70" i="12"/>
  <c r="H70" i="12"/>
  <c r="G70" i="12"/>
  <c r="F70" i="12"/>
  <c r="E70" i="12"/>
  <c r="D70" i="12"/>
  <c r="I69" i="12"/>
  <c r="H69" i="12"/>
  <c r="G69" i="12"/>
  <c r="F69" i="12"/>
  <c r="E69" i="12"/>
  <c r="D69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G66" i="12"/>
  <c r="F66" i="12"/>
  <c r="E66" i="12"/>
  <c r="D66" i="12"/>
  <c r="G65" i="12"/>
  <c r="F65" i="12"/>
  <c r="E65" i="12"/>
  <c r="D65" i="12"/>
  <c r="G64" i="12"/>
  <c r="F64" i="12"/>
  <c r="E64" i="12"/>
  <c r="D64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60" i="12"/>
  <c r="G60" i="12"/>
  <c r="F60" i="12"/>
  <c r="E60" i="12"/>
  <c r="D60" i="12"/>
  <c r="H59" i="12"/>
  <c r="G59" i="12"/>
  <c r="F59" i="12"/>
  <c r="E59" i="12"/>
  <c r="D59" i="12"/>
  <c r="H58" i="12"/>
  <c r="G58" i="12"/>
  <c r="F58" i="12"/>
  <c r="E58" i="12"/>
  <c r="D58" i="12"/>
  <c r="I50" i="12"/>
  <c r="H50" i="12"/>
  <c r="G50" i="12"/>
  <c r="F50" i="12"/>
  <c r="E50" i="12"/>
  <c r="D50" i="12"/>
  <c r="I49" i="12"/>
  <c r="H49" i="12"/>
  <c r="G49" i="12"/>
  <c r="F49" i="12"/>
  <c r="E49" i="12"/>
  <c r="D49" i="12"/>
  <c r="I48" i="12"/>
  <c r="H48" i="12"/>
  <c r="G48" i="12"/>
  <c r="F48" i="12"/>
  <c r="E48" i="12"/>
  <c r="D48" i="12"/>
  <c r="I47" i="12"/>
  <c r="H47" i="12"/>
  <c r="G47" i="12"/>
  <c r="F47" i="12"/>
  <c r="E47" i="12"/>
  <c r="D47" i="12"/>
  <c r="I46" i="12"/>
  <c r="H46" i="12"/>
  <c r="G46" i="12"/>
  <c r="F46" i="12"/>
  <c r="E46" i="12"/>
  <c r="D46" i="12"/>
  <c r="I45" i="12"/>
  <c r="H45" i="12"/>
  <c r="G45" i="12"/>
  <c r="F45" i="12"/>
  <c r="E45" i="12"/>
  <c r="D45" i="12"/>
  <c r="I44" i="12"/>
  <c r="H44" i="12"/>
  <c r="G44" i="12"/>
  <c r="F44" i="12"/>
  <c r="E44" i="12"/>
  <c r="D44" i="12"/>
  <c r="I43" i="12"/>
  <c r="H43" i="12"/>
  <c r="G43" i="12"/>
  <c r="F43" i="12"/>
  <c r="E43" i="12"/>
  <c r="D43" i="12"/>
  <c r="I42" i="12"/>
  <c r="H42" i="12"/>
  <c r="G42" i="12"/>
  <c r="F42" i="12"/>
  <c r="E42" i="12"/>
  <c r="D42" i="12"/>
  <c r="H41" i="12"/>
  <c r="G41" i="12"/>
  <c r="F41" i="12"/>
  <c r="E41" i="12"/>
  <c r="D41" i="12"/>
  <c r="H40" i="12"/>
  <c r="G40" i="12"/>
  <c r="F40" i="12"/>
  <c r="E40" i="12"/>
  <c r="D40" i="12"/>
  <c r="H39" i="12"/>
  <c r="G39" i="12"/>
  <c r="F39" i="12"/>
  <c r="E39" i="12"/>
  <c r="D39" i="12"/>
  <c r="H38" i="12"/>
  <c r="G38" i="12"/>
  <c r="F38" i="12"/>
  <c r="E38" i="12"/>
  <c r="D38" i="12"/>
  <c r="I37" i="12"/>
  <c r="H37" i="12"/>
  <c r="G37" i="12"/>
  <c r="F37" i="12"/>
  <c r="E37" i="12"/>
  <c r="D37" i="12"/>
  <c r="I36" i="12"/>
  <c r="H36" i="12"/>
  <c r="G36" i="12"/>
  <c r="F36" i="12"/>
  <c r="E36" i="12"/>
  <c r="D36" i="12"/>
  <c r="I35" i="12"/>
  <c r="H35" i="12"/>
  <c r="G35" i="12"/>
  <c r="F35" i="12"/>
  <c r="E35" i="12"/>
  <c r="D35" i="12"/>
  <c r="I34" i="12"/>
  <c r="H34" i="12"/>
  <c r="G34" i="12"/>
  <c r="F34" i="12"/>
  <c r="E34" i="12"/>
  <c r="D34" i="12"/>
  <c r="I33" i="12"/>
  <c r="H33" i="12"/>
  <c r="G33" i="12"/>
  <c r="F33" i="12"/>
  <c r="E33" i="12"/>
  <c r="D33" i="12"/>
  <c r="D161" i="9"/>
  <c r="D66" i="9"/>
  <c r="D33" i="9"/>
  <c r="E204" i="9" l="1"/>
  <c r="D294" i="9" l="1"/>
  <c r="D295" i="9"/>
  <c r="D296" i="9"/>
  <c r="D297" i="9"/>
  <c r="D298" i="9"/>
  <c r="D299" i="9"/>
  <c r="D300" i="9"/>
  <c r="D301" i="9"/>
  <c r="D302" i="9"/>
  <c r="C295" i="9"/>
  <c r="C296" i="9"/>
  <c r="C297" i="9"/>
  <c r="C298" i="9"/>
  <c r="C299" i="9"/>
  <c r="C300" i="9"/>
  <c r="C301" i="9"/>
  <c r="C302" i="9"/>
  <c r="C294" i="9"/>
  <c r="E268" i="9"/>
  <c r="F268" i="9"/>
  <c r="G268" i="9"/>
  <c r="H268" i="9"/>
  <c r="E269" i="9"/>
  <c r="F269" i="9"/>
  <c r="G269" i="9"/>
  <c r="H269" i="9"/>
  <c r="E270" i="9"/>
  <c r="F270" i="9"/>
  <c r="G270" i="9"/>
  <c r="H270" i="9"/>
  <c r="E271" i="9"/>
  <c r="F271" i="9"/>
  <c r="G271" i="9"/>
  <c r="H271" i="9"/>
  <c r="E272" i="9"/>
  <c r="F272" i="9"/>
  <c r="G272" i="9"/>
  <c r="H272" i="9"/>
  <c r="E273" i="9"/>
  <c r="F273" i="9"/>
  <c r="G273" i="9"/>
  <c r="H273" i="9"/>
  <c r="E274" i="9"/>
  <c r="F274" i="9"/>
  <c r="G274" i="9"/>
  <c r="H274" i="9"/>
  <c r="E275" i="9"/>
  <c r="F275" i="9"/>
  <c r="G275" i="9"/>
  <c r="H275" i="9"/>
  <c r="E276" i="9"/>
  <c r="F276" i="9"/>
  <c r="G276" i="9"/>
  <c r="H276" i="9"/>
  <c r="E277" i="9"/>
  <c r="F277" i="9"/>
  <c r="G277" i="9"/>
  <c r="H277" i="9"/>
  <c r="E278" i="9"/>
  <c r="F278" i="9"/>
  <c r="G278" i="9"/>
  <c r="H278" i="9"/>
  <c r="E279" i="9"/>
  <c r="F279" i="9"/>
  <c r="G279" i="9"/>
  <c r="H279" i="9"/>
  <c r="E280" i="9"/>
  <c r="F280" i="9"/>
  <c r="G280" i="9"/>
  <c r="H280" i="9"/>
  <c r="E281" i="9"/>
  <c r="F281" i="9"/>
  <c r="G281" i="9"/>
  <c r="H281" i="9"/>
  <c r="E282" i="9"/>
  <c r="F282" i="9"/>
  <c r="G282" i="9"/>
  <c r="H282" i="9"/>
  <c r="E283" i="9"/>
  <c r="F283" i="9"/>
  <c r="G283" i="9"/>
  <c r="H283" i="9"/>
  <c r="E284" i="9"/>
  <c r="F284" i="9"/>
  <c r="G284" i="9"/>
  <c r="H284" i="9"/>
  <c r="F267" i="9"/>
  <c r="G267" i="9"/>
  <c r="H267" i="9"/>
  <c r="E267" i="9"/>
  <c r="F243" i="9"/>
  <c r="G243" i="9"/>
  <c r="H243" i="9"/>
  <c r="F244" i="9"/>
  <c r="G244" i="9"/>
  <c r="H244" i="9"/>
  <c r="F245" i="9"/>
  <c r="G245" i="9"/>
  <c r="H245" i="9"/>
  <c r="F246" i="9"/>
  <c r="G246" i="9"/>
  <c r="H246" i="9"/>
  <c r="F247" i="9"/>
  <c r="G247" i="9"/>
  <c r="H247" i="9"/>
  <c r="F248" i="9"/>
  <c r="G248" i="9"/>
  <c r="H248" i="9"/>
  <c r="F249" i="9"/>
  <c r="G249" i="9"/>
  <c r="H249" i="9"/>
  <c r="F250" i="9"/>
  <c r="G250" i="9"/>
  <c r="H250" i="9"/>
  <c r="F251" i="9"/>
  <c r="G251" i="9"/>
  <c r="H251" i="9"/>
  <c r="F252" i="9"/>
  <c r="G252" i="9"/>
  <c r="H252" i="9"/>
  <c r="F253" i="9"/>
  <c r="G253" i="9"/>
  <c r="H253" i="9"/>
  <c r="F254" i="9"/>
  <c r="G254" i="9"/>
  <c r="H254" i="9"/>
  <c r="F255" i="9"/>
  <c r="G255" i="9"/>
  <c r="H255" i="9"/>
  <c r="F256" i="9"/>
  <c r="G256" i="9"/>
  <c r="H256" i="9"/>
  <c r="F257" i="9"/>
  <c r="G257" i="9"/>
  <c r="H257" i="9"/>
  <c r="F258" i="9"/>
  <c r="G258" i="9"/>
  <c r="H258" i="9"/>
  <c r="F259" i="9"/>
  <c r="G259" i="9"/>
  <c r="H259" i="9"/>
  <c r="F260" i="9"/>
  <c r="G260" i="9"/>
  <c r="H260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43" i="9"/>
  <c r="E223" i="9"/>
  <c r="F223" i="9"/>
  <c r="G223" i="9"/>
  <c r="H223" i="9"/>
  <c r="E224" i="9"/>
  <c r="F224" i="9"/>
  <c r="G224" i="9"/>
  <c r="H224" i="9"/>
  <c r="E225" i="9"/>
  <c r="F225" i="9"/>
  <c r="G225" i="9"/>
  <c r="H225" i="9"/>
  <c r="E226" i="9"/>
  <c r="F226" i="9"/>
  <c r="G226" i="9"/>
  <c r="H226" i="9"/>
  <c r="E227" i="9"/>
  <c r="F227" i="9"/>
  <c r="G227" i="9"/>
  <c r="H227" i="9"/>
  <c r="E228" i="9"/>
  <c r="F228" i="9"/>
  <c r="G228" i="9"/>
  <c r="H228" i="9"/>
  <c r="E229" i="9"/>
  <c r="F229" i="9"/>
  <c r="G229" i="9"/>
  <c r="H229" i="9"/>
  <c r="E230" i="9"/>
  <c r="F230" i="9"/>
  <c r="G230" i="9"/>
  <c r="H230" i="9"/>
  <c r="E231" i="9"/>
  <c r="F231" i="9"/>
  <c r="G231" i="9"/>
  <c r="H231" i="9"/>
  <c r="E232" i="9"/>
  <c r="F232" i="9"/>
  <c r="G232" i="9"/>
  <c r="H232" i="9"/>
  <c r="E233" i="9"/>
  <c r="F233" i="9"/>
  <c r="G233" i="9"/>
  <c r="H233" i="9"/>
  <c r="E234" i="9"/>
  <c r="F234" i="9"/>
  <c r="G234" i="9"/>
  <c r="H234" i="9"/>
  <c r="E235" i="9"/>
  <c r="F235" i="9"/>
  <c r="G235" i="9"/>
  <c r="H235" i="9"/>
  <c r="E236" i="9"/>
  <c r="F236" i="9"/>
  <c r="G236" i="9"/>
  <c r="H236" i="9"/>
  <c r="E237" i="9"/>
  <c r="F237" i="9"/>
  <c r="G237" i="9"/>
  <c r="H237" i="9"/>
  <c r="E238" i="9"/>
  <c r="F238" i="9"/>
  <c r="G238" i="9"/>
  <c r="H238" i="9"/>
  <c r="E239" i="9"/>
  <c r="F239" i="9"/>
  <c r="G239" i="9"/>
  <c r="H239" i="9"/>
  <c r="F222" i="9"/>
  <c r="G222" i="9"/>
  <c r="H222" i="9"/>
  <c r="E222" i="9"/>
  <c r="F202" i="9"/>
  <c r="G202" i="9"/>
  <c r="H202" i="9"/>
  <c r="F203" i="9"/>
  <c r="G203" i="9"/>
  <c r="H203" i="9"/>
  <c r="F204" i="9"/>
  <c r="G204" i="9"/>
  <c r="H204" i="9"/>
  <c r="F205" i="9"/>
  <c r="G205" i="9"/>
  <c r="H205" i="9"/>
  <c r="F206" i="9"/>
  <c r="G206" i="9"/>
  <c r="H206" i="9"/>
  <c r="F207" i="9"/>
  <c r="G207" i="9"/>
  <c r="H207" i="9"/>
  <c r="F208" i="9"/>
  <c r="G208" i="9"/>
  <c r="H208" i="9"/>
  <c r="F209" i="9"/>
  <c r="G209" i="9"/>
  <c r="H209" i="9"/>
  <c r="F210" i="9"/>
  <c r="G210" i="9"/>
  <c r="H210" i="9"/>
  <c r="F211" i="9"/>
  <c r="G211" i="9"/>
  <c r="H211" i="9"/>
  <c r="F212" i="9"/>
  <c r="G212" i="9"/>
  <c r="H212" i="9"/>
  <c r="F213" i="9"/>
  <c r="G213" i="9"/>
  <c r="H213" i="9"/>
  <c r="F214" i="9"/>
  <c r="G214" i="9"/>
  <c r="H214" i="9"/>
  <c r="F215" i="9"/>
  <c r="G215" i="9"/>
  <c r="H215" i="9"/>
  <c r="F216" i="9"/>
  <c r="G216" i="9"/>
  <c r="H216" i="9"/>
  <c r="F217" i="9"/>
  <c r="G217" i="9"/>
  <c r="H217" i="9"/>
  <c r="F218" i="9"/>
  <c r="G218" i="9"/>
  <c r="H218" i="9"/>
  <c r="F219" i="9"/>
  <c r="G219" i="9"/>
  <c r="H219" i="9"/>
  <c r="E203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02" i="9"/>
  <c r="E176" i="9"/>
  <c r="F176" i="9" l="1"/>
  <c r="G176" i="9"/>
  <c r="F177" i="9"/>
  <c r="G177" i="9"/>
  <c r="F178" i="9"/>
  <c r="G178" i="9"/>
  <c r="F179" i="9"/>
  <c r="G179" i="9"/>
  <c r="F180" i="9"/>
  <c r="G180" i="9"/>
  <c r="F181" i="9"/>
  <c r="G181" i="9"/>
  <c r="F182" i="9"/>
  <c r="G182" i="9"/>
  <c r="F183" i="9"/>
  <c r="G183" i="9"/>
  <c r="F184" i="9"/>
  <c r="G184" i="9"/>
  <c r="F185" i="9"/>
  <c r="G185" i="9"/>
  <c r="F186" i="9"/>
  <c r="G186" i="9"/>
  <c r="F187" i="9"/>
  <c r="G187" i="9"/>
  <c r="F188" i="9"/>
  <c r="G188" i="9"/>
  <c r="F189" i="9"/>
  <c r="G189" i="9"/>
  <c r="F190" i="9"/>
  <c r="G190" i="9"/>
  <c r="F191" i="9"/>
  <c r="G191" i="9"/>
  <c r="F192" i="9"/>
  <c r="G192" i="9"/>
  <c r="F193" i="9"/>
  <c r="G193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61" i="9"/>
  <c r="G163" i="9" l="1"/>
  <c r="D163" i="9" s="1"/>
  <c r="G164" i="9"/>
  <c r="G167" i="9"/>
  <c r="D167" i="9" s="1"/>
  <c r="G168" i="9"/>
  <c r="E165" i="9"/>
  <c r="E166" i="9"/>
  <c r="E168" i="9"/>
  <c r="F162" i="9"/>
  <c r="D162" i="9" s="1"/>
  <c r="F164" i="9"/>
  <c r="F166" i="9"/>
  <c r="F165" i="9"/>
  <c r="F161" i="9"/>
  <c r="G161" i="9"/>
  <c r="E162" i="9"/>
  <c r="G162" i="9"/>
  <c r="E163" i="9"/>
  <c r="F163" i="9"/>
  <c r="E164" i="9"/>
  <c r="G165" i="9"/>
  <c r="G166" i="9"/>
  <c r="E167" i="9"/>
  <c r="F167" i="9"/>
  <c r="F168" i="9"/>
  <c r="D110" i="9"/>
  <c r="E110" i="9"/>
  <c r="F110" i="9"/>
  <c r="D111" i="9"/>
  <c r="E111" i="9"/>
  <c r="F111" i="9"/>
  <c r="D112" i="9"/>
  <c r="E112" i="9"/>
  <c r="F112" i="9"/>
  <c r="D113" i="9"/>
  <c r="E113" i="9"/>
  <c r="F113" i="9"/>
  <c r="D114" i="9"/>
  <c r="E114" i="9"/>
  <c r="F114" i="9"/>
  <c r="D115" i="9"/>
  <c r="E115" i="9"/>
  <c r="F115" i="9"/>
  <c r="D116" i="9"/>
  <c r="E116" i="9"/>
  <c r="F116" i="9"/>
  <c r="D117" i="9"/>
  <c r="E117" i="9"/>
  <c r="F117" i="9"/>
  <c r="D118" i="9"/>
  <c r="E118" i="9"/>
  <c r="F118" i="9"/>
  <c r="D119" i="9"/>
  <c r="E119" i="9"/>
  <c r="F119" i="9"/>
  <c r="D120" i="9"/>
  <c r="E120" i="9"/>
  <c r="F120" i="9"/>
  <c r="D121" i="9"/>
  <c r="E121" i="9"/>
  <c r="F121" i="9"/>
  <c r="D122" i="9"/>
  <c r="E122" i="9"/>
  <c r="F122" i="9"/>
  <c r="D123" i="9"/>
  <c r="E123" i="9"/>
  <c r="F123" i="9"/>
  <c r="D124" i="9"/>
  <c r="E124" i="9"/>
  <c r="F124" i="9"/>
  <c r="D125" i="9"/>
  <c r="E125" i="9"/>
  <c r="F125" i="9"/>
  <c r="D126" i="9"/>
  <c r="E126" i="9"/>
  <c r="F126" i="9"/>
  <c r="E109" i="9"/>
  <c r="F109" i="9"/>
  <c r="D109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F86" i="9"/>
  <c r="G86" i="9"/>
  <c r="D84" i="9"/>
  <c r="E84" i="9"/>
  <c r="D85" i="9"/>
  <c r="E85" i="9"/>
  <c r="D86" i="9"/>
  <c r="E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E83" i="9"/>
  <c r="D83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67" i="9"/>
  <c r="I67" i="9"/>
  <c r="D62" i="9"/>
  <c r="E62" i="9"/>
  <c r="F62" i="9"/>
  <c r="G62" i="9"/>
  <c r="D63" i="9"/>
  <c r="E63" i="9"/>
  <c r="F63" i="9"/>
  <c r="G63" i="9"/>
  <c r="D64" i="9"/>
  <c r="E64" i="9"/>
  <c r="F64" i="9"/>
  <c r="G64" i="9"/>
  <c r="D65" i="9"/>
  <c r="E65" i="9"/>
  <c r="F65" i="9"/>
  <c r="G65" i="9"/>
  <c r="E66" i="9"/>
  <c r="F66" i="9"/>
  <c r="G66" i="9"/>
  <c r="D67" i="9"/>
  <c r="E67" i="9"/>
  <c r="F67" i="9"/>
  <c r="G67" i="9"/>
  <c r="D68" i="9"/>
  <c r="E68" i="9"/>
  <c r="F68" i="9"/>
  <c r="G68" i="9"/>
  <c r="D69" i="9"/>
  <c r="E69" i="9"/>
  <c r="F69" i="9"/>
  <c r="G69" i="9"/>
  <c r="D70" i="9"/>
  <c r="E70" i="9"/>
  <c r="F70" i="9"/>
  <c r="G70" i="9"/>
  <c r="D71" i="9"/>
  <c r="E71" i="9"/>
  <c r="F71" i="9"/>
  <c r="G71" i="9"/>
  <c r="D72" i="9"/>
  <c r="E72" i="9"/>
  <c r="F72" i="9"/>
  <c r="G72" i="9"/>
  <c r="D73" i="9"/>
  <c r="E73" i="9"/>
  <c r="F73" i="9"/>
  <c r="G73" i="9"/>
  <c r="D74" i="9"/>
  <c r="E74" i="9"/>
  <c r="F74" i="9"/>
  <c r="G74" i="9"/>
  <c r="D75" i="9"/>
  <c r="E75" i="9"/>
  <c r="F75" i="9"/>
  <c r="G75" i="9"/>
  <c r="F61" i="9"/>
  <c r="G61" i="9"/>
  <c r="D59" i="9"/>
  <c r="E59" i="9"/>
  <c r="D60" i="9"/>
  <c r="E60" i="9"/>
  <c r="D61" i="9"/>
  <c r="E61" i="9"/>
  <c r="E58" i="9"/>
  <c r="D58" i="9"/>
  <c r="I43" i="9"/>
  <c r="I44" i="9"/>
  <c r="I45" i="9"/>
  <c r="I46" i="9"/>
  <c r="I47" i="9"/>
  <c r="I48" i="9"/>
  <c r="I49" i="9"/>
  <c r="I50" i="9"/>
  <c r="I42" i="9"/>
  <c r="F37" i="9"/>
  <c r="G37" i="9"/>
  <c r="H37" i="9"/>
  <c r="F38" i="9"/>
  <c r="G38" i="9"/>
  <c r="H38" i="9"/>
  <c r="F39" i="9"/>
  <c r="G39" i="9"/>
  <c r="H39" i="9"/>
  <c r="F40" i="9"/>
  <c r="G40" i="9"/>
  <c r="H40" i="9"/>
  <c r="F41" i="9"/>
  <c r="G41" i="9"/>
  <c r="H41" i="9"/>
  <c r="F42" i="9"/>
  <c r="G42" i="9"/>
  <c r="H42" i="9"/>
  <c r="F43" i="9"/>
  <c r="G43" i="9"/>
  <c r="H43" i="9"/>
  <c r="F44" i="9"/>
  <c r="G44" i="9"/>
  <c r="H44" i="9"/>
  <c r="F45" i="9"/>
  <c r="G45" i="9"/>
  <c r="H45" i="9"/>
  <c r="F46" i="9"/>
  <c r="G46" i="9"/>
  <c r="H46" i="9"/>
  <c r="F47" i="9"/>
  <c r="G47" i="9"/>
  <c r="H47" i="9"/>
  <c r="F48" i="9"/>
  <c r="G48" i="9"/>
  <c r="H48" i="9"/>
  <c r="F49" i="9"/>
  <c r="G49" i="9"/>
  <c r="H49" i="9"/>
  <c r="F50" i="9"/>
  <c r="G50" i="9"/>
  <c r="H50" i="9"/>
  <c r="G36" i="9"/>
  <c r="H36" i="9"/>
  <c r="D34" i="9"/>
  <c r="E34" i="9"/>
  <c r="F34" i="9"/>
  <c r="D35" i="9"/>
  <c r="E35" i="9"/>
  <c r="F35" i="9"/>
  <c r="D36" i="9"/>
  <c r="E36" i="9"/>
  <c r="F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E33" i="9"/>
  <c r="F33" i="9"/>
  <c r="D164" i="9" l="1"/>
  <c r="D168" i="9"/>
  <c r="D165" i="9"/>
  <c r="D166" i="9"/>
  <c r="L141" i="6"/>
  <c r="L142" i="6"/>
  <c r="L143" i="6"/>
  <c r="L144" i="6"/>
  <c r="L145" i="6"/>
  <c r="L146" i="6"/>
  <c r="L147" i="6"/>
  <c r="L140" i="6"/>
  <c r="K141" i="6"/>
  <c r="K142" i="6"/>
  <c r="K143" i="6"/>
  <c r="K144" i="6"/>
  <c r="K145" i="6"/>
  <c r="K146" i="6"/>
  <c r="K147" i="6"/>
  <c r="K140" i="6"/>
  <c r="J141" i="6"/>
  <c r="J142" i="6"/>
  <c r="J143" i="6"/>
  <c r="J144" i="6"/>
  <c r="J145" i="6"/>
  <c r="J146" i="6"/>
  <c r="J147" i="6"/>
  <c r="J140" i="6"/>
  <c r="I141" i="6"/>
  <c r="I142" i="6"/>
  <c r="I143" i="6"/>
  <c r="I144" i="6"/>
  <c r="I145" i="6"/>
  <c r="I146" i="6"/>
  <c r="I147" i="6"/>
  <c r="I140" i="6"/>
</calcChain>
</file>

<file path=xl/sharedStrings.xml><?xml version="1.0" encoding="utf-8"?>
<sst xmlns="http://schemas.openxmlformats.org/spreadsheetml/2006/main" count="13620" uniqueCount="1008">
  <si>
    <t>ANEXO V</t>
  </si>
  <si>
    <t>VENCIMENTOS BÁSICOS</t>
  </si>
  <si>
    <t>I - Vencimento Básico da Carreira de Auditoria, Inspeção e Controle</t>
  </si>
  <si>
    <t>NÍVEL DE ATUAÇÃO</t>
  </si>
  <si>
    <t>CARGOS</t>
  </si>
  <si>
    <t>TÉCNICO PROFISSIONAL</t>
  </si>
  <si>
    <t>ESPECIALISTA</t>
  </si>
  <si>
    <t>CONSULTOR</t>
  </si>
  <si>
    <t>AUDITOR DE
CONTROLE
EXTERNO</t>
  </si>
  <si>
    <t>TÉCNICO DE
CONTROLE
EXTERNO</t>
  </si>
  <si>
    <t>AUXILIAR DE
CONTROLE
EXTERNO</t>
  </si>
  <si>
    <t>CLASSE</t>
  </si>
  <si>
    <t>REFERÊNCIA</t>
  </si>
  <si>
    <t>VENCIMENTO BÁSICO</t>
  </si>
  <si>
    <t>I</t>
  </si>
  <si>
    <t>A</t>
  </si>
  <si>
    <t>B</t>
  </si>
  <si>
    <t>C</t>
  </si>
  <si>
    <t>D</t>
  </si>
  <si>
    <t>E</t>
  </si>
  <si>
    <t>F</t>
  </si>
  <si>
    <t>II</t>
  </si>
  <si>
    <t>ESPECIAL</t>
  </si>
  <si>
    <t>II - Vencimento Básico da Carreira de Apoio Técnico e Administrativo de nível superior</t>
  </si>
  <si>
    <t>ANALISTA
ADMINISTRATIVO</t>
  </si>
  <si>
    <t>ANALISTA DE
TECNOLOGIA
DA
INFORMAÇÃO</t>
  </si>
  <si>
    <t>III - Vencimento Básico da Carreira de Apoio Técnico e Administrativo dos Cargos de Nível Médio de Técnico de Informática e Técnico Administrativo</t>
  </si>
  <si>
    <t>TÉCNICO DE
INFORMÁTICA</t>
  </si>
  <si>
    <t>TÉCNICO
ADMINISTRATIVO</t>
  </si>
  <si>
    <t>IV- Vencimento Básico da Carreira de Apoio Técnico e Administrativo dos Cargos de Nível Médio de</t>
  </si>
  <si>
    <t>Motorista e dos Cargos de Nível Fundamental de Auxiliar Administrativo e Digitador</t>
  </si>
  <si>
    <t>MOTORISTA</t>
  </si>
  <si>
    <t>AUXILIAR
ADMINISTRATIVO</t>
  </si>
  <si>
    <t>DIGITADOR</t>
  </si>
  <si>
    <t>ANEXO IX</t>
  </si>
  <si>
    <t>REMUNERAÇÃO DOS CARGOS DO GRUPO DE CHEFIA, DIREÇÃO E ASSESSORAMENTO - CÓDIGO TC/CDS</t>
  </si>
  <si>
    <t>CÓDIGO</t>
  </si>
  <si>
    <t>VALOR EM REAIS</t>
  </si>
  <si>
    <t>TC/CDS-1</t>
  </si>
  <si>
    <t>TC/CDS-2</t>
  </si>
  <si>
    <t>TC/CDS-3</t>
  </si>
  <si>
    <t>TC/CDS-4</t>
  </si>
  <si>
    <t>TC/CDS-5</t>
  </si>
  <si>
    <t>TC/CDS-6</t>
  </si>
  <si>
    <t>TC/CDS-7</t>
  </si>
  <si>
    <t>TC/CDS-8</t>
  </si>
  <si>
    <t>ANEXO X</t>
  </si>
  <si>
    <t xml:space="preserve">VALOR DA FUNÇÃO GRATIFICADA DOS CARGOS DO GRUPO DE CHEFIA, DIREÇÃO E ASSESSORAMENTO - CÓDIGO TC/FG
</t>
  </si>
  <si>
    <t>TC/FG-3</t>
  </si>
  <si>
    <t>ANEXO VII</t>
  </si>
  <si>
    <t>Gratificação de Representação</t>
  </si>
  <si>
    <t>Devida ao Servidor efetivo ocupante de cargo do grupo de Chefia, Direção e Assessoramento Superior TC/CDS – 100, nos termos do artigo 26.</t>
  </si>
  <si>
    <t>50% do valor da remuneração do cargo em comissão constante no Anexo IX.</t>
  </si>
  <si>
    <t>Dispensa regulamentação</t>
  </si>
  <si>
    <t>Auxílio Saúde</t>
  </si>
  <si>
    <t>Destinado a subsidiar despesas com assistência à saúde dos agentes públicos em atividade.</t>
  </si>
  <si>
    <t>Concedido na formada
Lei Estadual nº
Lei nº 1.644,
de 29 de junho de 2006.</t>
  </si>
  <si>
    <t xml:space="preserve">Depende de
regulamentação.
</t>
  </si>
  <si>
    <t>Auxílio
Alimentação</t>
  </si>
  <si>
    <t xml:space="preserve">Destinado a subsidiar
despesas com refeição, dos
agentes públicos em
atividade.
</t>
  </si>
  <si>
    <t xml:space="preserve">Concedido na forma da
Lei Estadual nº 2.284,
de 6, de abril de 2010
</t>
  </si>
  <si>
    <t xml:space="preserve">Depende
regulamentação.
</t>
  </si>
  <si>
    <t>Auxílio Transporte</t>
  </si>
  <si>
    <t>Devido a todos os Servidores ativos para fazer face às despesas com transportes e condução utilizados para o deslocamento, trabalho/residência/trabalho ou no cumprimento de ordem e serviço.</t>
  </si>
  <si>
    <t xml:space="preserve">266,40
</t>
  </si>
  <si>
    <t>Gratificação de
atividade de
docência</t>
  </si>
  <si>
    <t>Concedida ao agente público ou ao profissional contratado na forma da resolução que, na qualidade de instrutor, acumular o pleno exercício das atividades do seu cargo com atividades de docência para o público interno, externo e jurisdicionados do Tribunal de Contas do Estado, com pagamento Efetuado em forma de hora -aula, cujo valor será discriminado por nível de habilitação profissional.</t>
  </si>
  <si>
    <t>Concedida na forma da Lei Complementar nº 591, de 22 de novembro de 2010.</t>
  </si>
  <si>
    <t>Depende de regulamentação.</t>
  </si>
  <si>
    <t>Gratificação Temporária de trabalhos extraordinários</t>
  </si>
  <si>
    <t>Visa gratificar o agente público, por tempo determinado, em razão de tarefas especiais mediante prévia designação de Presidência do Tribunal.</t>
  </si>
  <si>
    <t>Gratificação de Comissão de Licitação e Pregoeiro</t>
  </si>
  <si>
    <t>Visa gratificar os servidores designados para ser pregoeiro, presidente da comissão de licitação, compor comissão de licitação ou equipe de apoio ao Pregoeiro.</t>
  </si>
  <si>
    <t>Presidente R$ 1.800,00 Membro R$ 1.300,00</t>
  </si>
  <si>
    <t>Devido aos servidores designados para compor Comissão de Licitação e ao Pregoeiro. Reajustável na mesma data e índices concedidos aos servidores do Tribunal. Dispensa regulamentação.</t>
  </si>
  <si>
    <t>Gratificação de Comissão Disciplinar</t>
  </si>
  <si>
    <t>Devida ao servidor efetivo e estável designado para atuar como presidente ou membro de Comissão de Sindicância ou de Comissão Permanente de Processo Administrativo Disciplinar.</t>
  </si>
  <si>
    <t>Reajustável na mesma data e Índices concedidos aos Servidores do Tribunal. Dispensa regulamentação.</t>
  </si>
  <si>
    <t>Gratificação Especial de Segurança Institucional</t>
  </si>
  <si>
    <t>Devida ao servidor efetivo requisitado para exercer atividades de segurança institucional no Tribunal de Contas do Estado, concedida enquanto perdurara necessidade excepcional de segurança.</t>
  </si>
  <si>
    <t>Reajustável na mesma data e índices concedidos aos servidores do Tribunal. Dispensa regulamentação</t>
  </si>
  <si>
    <t>Gratificação de Comissão de Redação</t>
  </si>
  <si>
    <t>Devida aos servidores designados para compor a Comissão de Redação e Atualização de Normas.</t>
  </si>
  <si>
    <t>Reajustável na mesmadata e índices
concedidos aos
servidores do Tribunal.
Depende de
regulamentação.</t>
  </si>
  <si>
    <t>Gratificação de Comissão de Gestão de Desempenho</t>
  </si>
  <si>
    <t>Devida ao servidor designado para atuar como presidente ou membro da Comissão de Gestão de Desempenho</t>
  </si>
  <si>
    <t>Concedida na forma da Lei Complementar nº 786, de 15 de julho de 2014. Presidente R$ 1.800,00 Membro R$ 1.300,00</t>
  </si>
  <si>
    <t>Reajustável na mesma data e índices concedidos aos servidores do Tribunal. Depende de regulamentação.</t>
  </si>
  <si>
    <t>DA GRATIFICAÇÃO DE RESULTADOS</t>
  </si>
  <si>
    <t>Total*</t>
  </si>
  <si>
    <t>Total</t>
  </si>
  <si>
    <t>Inst. (10)%</t>
  </si>
  <si>
    <t>Set. (30%)</t>
  </si>
  <si>
    <t>Ind. (60%)</t>
  </si>
  <si>
    <t>Auditor de Controle Externo</t>
  </si>
  <si>
    <t>Técnico de Controle Externo</t>
  </si>
  <si>
    <t>Auxiliar de Controle Externo</t>
  </si>
  <si>
    <t>Analista Administrativo e de Tecnologia da Informação</t>
  </si>
  <si>
    <t>Técnico Administrativo</t>
  </si>
  <si>
    <t>Técnico de Informática (em extinção)</t>
  </si>
  <si>
    <t>Auxiliar Administrativo e Digitador (em extinção)</t>
  </si>
  <si>
    <t>Motorista (em extinção)</t>
  </si>
  <si>
    <t>Quadro I – Cargos de Nível Superior</t>
  </si>
  <si>
    <t>Cargos</t>
  </si>
  <si>
    <t>Classe</t>
  </si>
  <si>
    <t>Referência</t>
  </si>
  <si>
    <t>Valores conforme o Diploma apresentado</t>
  </si>
  <si>
    <t>Especialização</t>
  </si>
  <si>
    <t>Mestrado</t>
  </si>
  <si>
    <t>Doutorado</t>
  </si>
  <si>
    <t>Analista Administrativo Analista de Tecnologia da Informação</t>
  </si>
  <si>
    <t>Procurador Jurídico</t>
  </si>
  <si>
    <t>Especial</t>
  </si>
  <si>
    <t>Quadro II – Cargos de Nível Médio</t>
  </si>
  <si>
    <t>Cargos de Nível Médio</t>
  </si>
  <si>
    <t>Cargo</t>
  </si>
  <si>
    <t>Classes</t>
  </si>
  <si>
    <t>Referências</t>
  </si>
  <si>
    <t>Graduação
de Nível Superior</t>
  </si>
  <si>
    <t>Técnico de Controle Externo
Técnico Administrativo</t>
  </si>
  <si>
    <t>Técnico de Informática – em extinção</t>
  </si>
  <si>
    <t>Motorista – em extinção</t>
  </si>
  <si>
    <t>Quadro III – Cargos de Nível Fundamental</t>
  </si>
  <si>
    <t>Cargos de Nível Fundamental</t>
  </si>
  <si>
    <t>Auxiliar de Controle Externo – em extinção
Auxiliar Administrativo – em extinção
Digitador – em extinção</t>
  </si>
  <si>
    <t>DENOMINAÇÃO</t>
  </si>
  <si>
    <t>VALOR</t>
  </si>
  <si>
    <t>AGENTE OPERACIONAL e dos Cargos de Nível Fundamental de Auxiliar Administrativo e Digitador</t>
  </si>
  <si>
    <t>AGENTE OPERACIONAL</t>
  </si>
  <si>
    <t>Valor da Representação</t>
  </si>
  <si>
    <t>FUNÇÕES DE MEMBROS (20)</t>
  </si>
  <si>
    <t>FG</t>
  </si>
  <si>
    <t>20 e 25</t>
  </si>
  <si>
    <t>R$ 35.462,20</t>
  </si>
  <si>
    <t>7092,44   e      8865,56</t>
  </si>
  <si>
    <t>Presidente R$ 1.954,08 Membro R$ 1.411,28</t>
  </si>
  <si>
    <t>Concedida na forma da Lei Complementar nº 786, de 15 de julho de 2014. Presidente R$ 1.954,08 Membro R$ 1.411,28</t>
  </si>
  <si>
    <t>AGENTE OPERACIONAL (em extinção)</t>
  </si>
  <si>
    <t>AGENTE OPERACIONAL – em extinção</t>
  </si>
  <si>
    <t>Sistema Recursos Humanos</t>
  </si>
  <si>
    <t>ID</t>
  </si>
  <si>
    <t>Grupo de Classe</t>
  </si>
  <si>
    <t>Sub-Grupo de Classe</t>
  </si>
  <si>
    <t>Nível</t>
  </si>
  <si>
    <t>Valor do Vencimento</t>
  </si>
  <si>
    <t>BOLSISTA (B)</t>
  </si>
  <si>
    <t>CEDIDOS (16)</t>
  </si>
  <si>
    <t>R$ 3.000,00</t>
  </si>
  <si>
    <t>R$ 0,00</t>
  </si>
  <si>
    <t>CARGOS EM COMISSÃO (C)</t>
  </si>
  <si>
    <t>CARGOS EM COMISSÃO (13)</t>
  </si>
  <si>
    <t>CDS</t>
  </si>
  <si>
    <t>R$ 3.145,16</t>
  </si>
  <si>
    <t>R$ 1.572,58</t>
  </si>
  <si>
    <t>R$ 5.084,43</t>
  </si>
  <si>
    <t>R$ 2.542,21</t>
  </si>
  <si>
    <t>R$ 6.318,52</t>
  </si>
  <si>
    <t>R$ 3.159,26</t>
  </si>
  <si>
    <t>R$ 7.200,00</t>
  </si>
  <si>
    <t>R$ 3.600,00</t>
  </si>
  <si>
    <t>R$ 10.725,95</t>
  </si>
  <si>
    <t>R$ 5.362,97</t>
  </si>
  <si>
    <t>R$ 12.488,91</t>
  </si>
  <si>
    <t>R$ 6.244,45</t>
  </si>
  <si>
    <t>R$ 16.266,98</t>
  </si>
  <si>
    <t>R$ 8.133,49</t>
  </si>
  <si>
    <t>R$ 23.752,36</t>
  </si>
  <si>
    <t>R$ 11.876,18</t>
  </si>
  <si>
    <t>FUNÇÃO GRATIFICADA (F)</t>
  </si>
  <si>
    <t>FUNÇÕES COMISSIONADAS (14)</t>
  </si>
  <si>
    <t>R$ 35.462,24</t>
  </si>
  <si>
    <t>MEMBROS CONSELHEIROS (M)</t>
  </si>
  <si>
    <t>MEMBRO DO TRIBUNAL DE CONTAS - CONSELHEIRO (11)</t>
  </si>
  <si>
    <t>M</t>
  </si>
  <si>
    <t>R$ 35.462,22</t>
  </si>
  <si>
    <t>MEMBROS MPC (12)</t>
  </si>
  <si>
    <t>ESTAGIÁRIOS NÍVEL MÉDIO (15)</t>
  </si>
  <si>
    <t>R$ 600,00</t>
  </si>
  <si>
    <t>AUDITOR (21)</t>
  </si>
  <si>
    <t>R$ 33.689,11</t>
  </si>
  <si>
    <t>CONSELHEIRO SUBSTITUTO (22)</t>
  </si>
  <si>
    <t>QUADRO DE PESSOAL (P)</t>
  </si>
  <si>
    <t>AUDITOR DE CONTROLE EXTERNO (1)</t>
  </si>
  <si>
    <t>R$ 7.739,16</t>
  </si>
  <si>
    <t>R$ 7.971,33</t>
  </si>
  <si>
    <t>R$ 8.210,47</t>
  </si>
  <si>
    <t>R$ 8.456,78</t>
  </si>
  <si>
    <t>R$ 8.710,49</t>
  </si>
  <si>
    <t>R$ 8.971,80</t>
  </si>
  <si>
    <t>G</t>
  </si>
  <si>
    <t>R$ 6.690,28</t>
  </si>
  <si>
    <t>H</t>
  </si>
  <si>
    <t>R$ 6.824,10</t>
  </si>
  <si>
    <t>R$ 6.960,56</t>
  </si>
  <si>
    <t>R$ 9.420,39</t>
  </si>
  <si>
    <t>R$ 9.703,01</t>
  </si>
  <si>
    <t>R$ 9.994,10</t>
  </si>
  <si>
    <t>R$ 10.293,92</t>
  </si>
  <si>
    <t>R$ 10.602,74</t>
  </si>
  <si>
    <t>R$ 10.920,82</t>
  </si>
  <si>
    <t>R$ 7.995,50</t>
  </si>
  <si>
    <t>R$ 8.155,41</t>
  </si>
  <si>
    <t>R$ 8.318,52</t>
  </si>
  <si>
    <t>III</t>
  </si>
  <si>
    <t>R$ 11.466,87</t>
  </si>
  <si>
    <t>AC</t>
  </si>
  <si>
    <t>R$ 15.164,93</t>
  </si>
  <si>
    <t>AE</t>
  </si>
  <si>
    <t>R$ 13.186,90</t>
  </si>
  <si>
    <t>R$ 11.810,87</t>
  </si>
  <si>
    <t>BC</t>
  </si>
  <si>
    <t>R$ 15.619,87</t>
  </si>
  <si>
    <t>BE</t>
  </si>
  <si>
    <t>R$ 13.582,51</t>
  </si>
  <si>
    <t>R$ 12.165,20</t>
  </si>
  <si>
    <t>CC</t>
  </si>
  <si>
    <t>R$ 16.088,48</t>
  </si>
  <si>
    <t>CE</t>
  </si>
  <si>
    <t>R$ 13.989,99</t>
  </si>
  <si>
    <t>R$ 12.530,16</t>
  </si>
  <si>
    <t>DC</t>
  </si>
  <si>
    <t>R$ 16.571,13</t>
  </si>
  <si>
    <t>DE</t>
  </si>
  <si>
    <t>R$ 14.409,68</t>
  </si>
  <si>
    <t>R$ 12.906,06</t>
  </si>
  <si>
    <t>EC</t>
  </si>
  <si>
    <t>R$ 17.068,26</t>
  </si>
  <si>
    <t>EE</t>
  </si>
  <si>
    <t>R$ 14.841,96</t>
  </si>
  <si>
    <t>R$ 13.293,24</t>
  </si>
  <si>
    <t>FC</t>
  </si>
  <si>
    <t>R$ 17.580,30</t>
  </si>
  <si>
    <t>FE</t>
  </si>
  <si>
    <t>R$ 15.287,22</t>
  </si>
  <si>
    <t>TÉCNICO DE CONTROLE EXTERNO (2)</t>
  </si>
  <si>
    <t>R$ 3.939,08</t>
  </si>
  <si>
    <t>R$ 4.057,25</t>
  </si>
  <si>
    <t>R$ 4.178,96</t>
  </si>
  <si>
    <t>R$ 4.304,34</t>
  </si>
  <si>
    <t>R$ 4.433,47</t>
  </si>
  <si>
    <t>R$ 4.566,47</t>
  </si>
  <si>
    <t>R$ 6.960,57</t>
  </si>
  <si>
    <t>R$ 4.794,79</t>
  </si>
  <si>
    <t>R$ 4.938,63</t>
  </si>
  <si>
    <t>R$ 5.086,80</t>
  </si>
  <si>
    <t>R$ 5.239,40</t>
  </si>
  <si>
    <t>R$ 5.396,58</t>
  </si>
  <si>
    <t>R$ 5.558,48</t>
  </si>
  <si>
    <t>R$ 7.995,53</t>
  </si>
  <si>
    <t>R$ 8.318,51</t>
  </si>
  <si>
    <t>R$ 5.836,40</t>
  </si>
  <si>
    <t>R$ 6.711,87</t>
  </si>
  <si>
    <t>R$ 6.011,50</t>
  </si>
  <si>
    <t>R$ 6.913,24</t>
  </si>
  <si>
    <t>R$ 6.191,84</t>
  </si>
  <si>
    <t>R$ 7.120,63</t>
  </si>
  <si>
    <t>R$ 6.377,60</t>
  </si>
  <si>
    <t>R$ 7.334,26</t>
  </si>
  <si>
    <t>R$ 6.568,92</t>
  </si>
  <si>
    <t>R$ 7.554,29</t>
  </si>
  <si>
    <t>R$ 6.765,99</t>
  </si>
  <si>
    <t>R$ 7.780,92</t>
  </si>
  <si>
    <t>AUXILIAR DE CONTROLE EXTERNO (3)</t>
  </si>
  <si>
    <t>R$ 2.508,58</t>
  </si>
  <si>
    <t>R$ 2.583,84</t>
  </si>
  <si>
    <t>R$ 2.661,35</t>
  </si>
  <si>
    <t>R$ 2.741,19</t>
  </si>
  <si>
    <t>R$ 2.823,43</t>
  </si>
  <si>
    <t>R$ 2.908,13</t>
  </si>
  <si>
    <t>R$ 2.478,41</t>
  </si>
  <si>
    <t>R$ 2.527,98</t>
  </si>
  <si>
    <t>R$ 2.578,52</t>
  </si>
  <si>
    <t>R$ 3.053,53</t>
  </si>
  <si>
    <t>R$ 3.145,14</t>
  </si>
  <si>
    <t>R$ 3.239,48</t>
  </si>
  <si>
    <t>R$ 3.336,67</t>
  </si>
  <si>
    <t>R$ 3.436,77</t>
  </si>
  <si>
    <t>R$ 3.539,87</t>
  </si>
  <si>
    <t>R$ 2.961,91</t>
  </si>
  <si>
    <t>R$ 3.021,14</t>
  </si>
  <si>
    <t>R$ 3.081,57</t>
  </si>
  <si>
    <t>R$ 3.716,87</t>
  </si>
  <si>
    <t>R$ 3.828,37</t>
  </si>
  <si>
    <t>R$ 3.943,22</t>
  </si>
  <si>
    <t>R$ 4.061,52</t>
  </si>
  <si>
    <t>R$ 4.183,37</t>
  </si>
  <si>
    <t>R$ 4.308,88</t>
  </si>
  <si>
    <t>ANALISTA ADMINISTRATIVO (4)</t>
  </si>
  <si>
    <t>a</t>
  </si>
  <si>
    <t>R$ 5.239,12</t>
  </si>
  <si>
    <t>ANALISTA DE TECNOLOGIA DA INFORMAÇÃO (5)</t>
  </si>
  <si>
    <t>D-ES</t>
  </si>
  <si>
    <t>R$ 9.725,29</t>
  </si>
  <si>
    <t>A-C</t>
  </si>
  <si>
    <t>A-E</t>
  </si>
  <si>
    <t>B-C</t>
  </si>
  <si>
    <t>B-E</t>
  </si>
  <si>
    <t>C-C</t>
  </si>
  <si>
    <t>C-E</t>
  </si>
  <si>
    <t>D-C</t>
  </si>
  <si>
    <t>D-E</t>
  </si>
  <si>
    <t>E-C</t>
  </si>
  <si>
    <t>E-E</t>
  </si>
  <si>
    <t>F-C</t>
  </si>
  <si>
    <t>F-E</t>
  </si>
  <si>
    <t>TÉCNICO ADMINISTRATIVO (6)</t>
  </si>
  <si>
    <t>R$ 3.939,09</t>
  </si>
  <si>
    <t>R$ 4.057,26</t>
  </si>
  <si>
    <t>R$ 4.178,97</t>
  </si>
  <si>
    <t>R$ 4.566,48</t>
  </si>
  <si>
    <t>R$ 3.553,26</t>
  </si>
  <si>
    <t>R$ 3.624,33</t>
  </si>
  <si>
    <t>R$ 3.696,83</t>
  </si>
  <si>
    <t>R$ 4.794,80</t>
  </si>
  <si>
    <t>R$ 4.938,64</t>
  </si>
  <si>
    <t>R$ 5.086,81</t>
  </si>
  <si>
    <t>R$ 5.239,41</t>
  </si>
  <si>
    <t>R$ 5.396,59</t>
  </si>
  <si>
    <t>R$ 5.558,49</t>
  </si>
  <si>
    <t>R$ 4.246,48</t>
  </si>
  <si>
    <t>R$ 4.331,38</t>
  </si>
  <si>
    <t>R$ 4.418,03</t>
  </si>
  <si>
    <t>R$ 5.836,41</t>
  </si>
  <si>
    <t>R$ 6.011,51</t>
  </si>
  <si>
    <t>R$ 6.191,86</t>
  </si>
  <si>
    <t>R$ 6.377,62</t>
  </si>
  <si>
    <t>R$ 6.568,94</t>
  </si>
  <si>
    <t>R$ 6.766,01</t>
  </si>
  <si>
    <t>TECNICO EM INFORMÁTICA (7)</t>
  </si>
  <si>
    <t>R$ 4.346,06</t>
  </si>
  <si>
    <t>R$ 4.476,44</t>
  </si>
  <si>
    <t>R$ 4.610,74</t>
  </si>
  <si>
    <t>R$ 4.749,05</t>
  </si>
  <si>
    <t>R$ 4.891,53</t>
  </si>
  <si>
    <t>R$ 5.038,27</t>
  </si>
  <si>
    <t>R$ 4.293,76</t>
  </si>
  <si>
    <t>R$ 4.379,63</t>
  </si>
  <si>
    <t>R$ 4.467,26</t>
  </si>
  <si>
    <t>R$ 5.290,18</t>
  </si>
  <si>
    <t>R$ 5.448,89</t>
  </si>
  <si>
    <t>R$ 5.612,36</t>
  </si>
  <si>
    <t>R$ 5.780,73</t>
  </si>
  <si>
    <t>R$ 5.954,15</t>
  </si>
  <si>
    <t>R$ 6.132,77</t>
  </si>
  <si>
    <t>R$ 5.131,44</t>
  </si>
  <si>
    <t>R$ 5.234,07</t>
  </si>
  <si>
    <t>R$ 5.338,76</t>
  </si>
  <si>
    <t>R$ 6.439,41</t>
  </si>
  <si>
    <t>R$ 7.405,32</t>
  </si>
  <si>
    <t>R$ 6.632,59</t>
  </si>
  <si>
    <t>R$ 7.627,49</t>
  </si>
  <si>
    <t>R$ 6.831,57</t>
  </si>
  <si>
    <t>R$ 7.856,31</t>
  </si>
  <si>
    <t>R$ 7.036,52</t>
  </si>
  <si>
    <t>R$ 8.092,00</t>
  </si>
  <si>
    <t>R$ 7.247,62</t>
  </si>
  <si>
    <t>R$ 8.334,76</t>
  </si>
  <si>
    <t>R$ 7.465,04</t>
  </si>
  <si>
    <t>R$ 8.584,81</t>
  </si>
  <si>
    <t>AUXILIAR ADMINISTRATIVO (8)</t>
  </si>
  <si>
    <t>DIGITADOR (9)</t>
  </si>
  <si>
    <t>MOTORISTA (10)</t>
  </si>
  <si>
    <t>R$ 2.961,79</t>
  </si>
  <si>
    <t>R$ 3.050,64</t>
  </si>
  <si>
    <t>R$ 3.142,16</t>
  </si>
  <si>
    <t>R$ 3.236,42</t>
  </si>
  <si>
    <t>R$ 3.333,52</t>
  </si>
  <si>
    <t>R$ 3.433,52</t>
  </si>
  <si>
    <t>R$ 2.926,14</t>
  </si>
  <si>
    <t>R$ 2.984,70</t>
  </si>
  <si>
    <t>R$ 3.044,36</t>
  </si>
  <si>
    <t>R$ 3.605,20</t>
  </si>
  <si>
    <t>R$ 3.713,36</t>
  </si>
  <si>
    <t>R$ 3.824,76</t>
  </si>
  <si>
    <t>R$ 3.939,51</t>
  </si>
  <si>
    <t>R$ 4.057,70</t>
  </si>
  <si>
    <t>R$ 4.179,43</t>
  </si>
  <si>
    <t>R$ 3.497,02</t>
  </si>
  <si>
    <t>R$ 3.566,97</t>
  </si>
  <si>
    <t>R$ 3.638,30</t>
  </si>
  <si>
    <t>R$ 4.388,40</t>
  </si>
  <si>
    <t>R$ 4.520,05</t>
  </si>
  <si>
    <t>R$ 4.655,65</t>
  </si>
  <si>
    <t>R$ 4.795,32</t>
  </si>
  <si>
    <t>R$ 4.939,19</t>
  </si>
  <si>
    <t>R$ 5.087,36</t>
  </si>
  <si>
    <t>R$ 5.196,97</t>
  </si>
  <si>
    <t xml:space="preserve"> </t>
  </si>
  <si>
    <t>R$ 3.374,44</t>
  </si>
  <si>
    <t>R$ 1.687,22</t>
  </si>
  <si>
    <t>R$ 5.455,08</t>
  </si>
  <si>
    <t>R$ 2.727,54</t>
  </si>
  <si>
    <t>R$ 6.779,14</t>
  </si>
  <si>
    <t>R$ 3.389,57</t>
  </si>
  <si>
    <t>R$ 7.724,88</t>
  </si>
  <si>
    <t>R$ 3.862,44</t>
  </si>
  <si>
    <t>R$ 11.507,87</t>
  </si>
  <si>
    <t>R$ 5.753,93</t>
  </si>
  <si>
    <t>R$ 14.739,29</t>
  </si>
  <si>
    <t>R$ 7.369,64</t>
  </si>
  <si>
    <t>R$ 17.452,84</t>
  </si>
  <si>
    <t>R$ 8.726,42</t>
  </si>
  <si>
    <t>R$ 24.411,01</t>
  </si>
  <si>
    <t>R$ 12.205,50</t>
  </si>
  <si>
    <t>ESTAGIÁRIOS (E)</t>
  </si>
  <si>
    <t>R$ 2.341,76</t>
  </si>
  <si>
    <t>R$ 2.910,15</t>
  </si>
  <si>
    <t>R$ 41.845,49</t>
  </si>
  <si>
    <t>R$ 8.369,10</t>
  </si>
  <si>
    <t>R$ 10.461,37</t>
  </si>
  <si>
    <t>R$ 39.753,21</t>
  </si>
  <si>
    <t>R$ 8.303,34</t>
  </si>
  <si>
    <t>R$ 8.552,44</t>
  </si>
  <si>
    <t>R$ 8.809,01</t>
  </si>
  <si>
    <t>R$ 9.073,28</t>
  </si>
  <si>
    <t>R$ 9.345,48</t>
  </si>
  <si>
    <t>R$ 9.625,84</t>
  </si>
  <si>
    <t>R$ 7.178,00</t>
  </si>
  <si>
    <t>R$ 7.321,58</t>
  </si>
  <si>
    <t>R$ 7.467,98</t>
  </si>
  <si>
    <t>R$ 10.107,14</t>
  </si>
  <si>
    <t>R$ 10.410,36</t>
  </si>
  <si>
    <t>R$ 10.722,67</t>
  </si>
  <si>
    <t>R$ 11.044,35</t>
  </si>
  <si>
    <t>R$ 11.375,68</t>
  </si>
  <si>
    <t>R$ 11.716,95</t>
  </si>
  <si>
    <t>R$ 8.578,37</t>
  </si>
  <si>
    <t>R$ 8.749,94</t>
  </si>
  <si>
    <t>R$ 8.924,94</t>
  </si>
  <si>
    <t>R$ 12.302,80</t>
  </si>
  <si>
    <t>R$ 16.270,45</t>
  </si>
  <si>
    <t>R$ 14.148,23</t>
  </si>
  <si>
    <t>R$ 12.671,88</t>
  </si>
  <si>
    <t>R$ 16.758,56</t>
  </si>
  <si>
    <t>R$ 14.572,67</t>
  </si>
  <si>
    <t>R$ 13.052,04</t>
  </si>
  <si>
    <t>R$ 17.261,33</t>
  </si>
  <si>
    <t>R$ 15.009,86</t>
  </si>
  <si>
    <t>R$ 13.443,61</t>
  </si>
  <si>
    <t>R$ 17.779,17</t>
  </si>
  <si>
    <t>R$ 15.460,15</t>
  </si>
  <si>
    <t>R$ 13.846,91</t>
  </si>
  <si>
    <t>R$ 18.312,54</t>
  </si>
  <si>
    <t>R$ 15.923,94</t>
  </si>
  <si>
    <t>R$ 14.262,32</t>
  </si>
  <si>
    <t>R$ 18.861,90</t>
  </si>
  <si>
    <t>R$ 16.401,66</t>
  </si>
  <si>
    <t>R$ 4.226,24</t>
  </si>
  <si>
    <t>R$ 4.353,02</t>
  </si>
  <si>
    <t>R$ 4.483,61</t>
  </si>
  <si>
    <t>R$ 4.618,13</t>
  </si>
  <si>
    <t>R$ 4.756,67</t>
  </si>
  <si>
    <t>R$ 4.899,37</t>
  </si>
  <si>
    <t>R$ 7.468,00</t>
  </si>
  <si>
    <t>R$ 5.144,33</t>
  </si>
  <si>
    <t>R$ 5.298,66</t>
  </si>
  <si>
    <t>R$ 5.457,63</t>
  </si>
  <si>
    <t>R$ 5.621,35</t>
  </si>
  <si>
    <t>R$ 5.789,99</t>
  </si>
  <si>
    <t>R$ 5.963,69</t>
  </si>
  <si>
    <t>R$ 8.578,40</t>
  </si>
  <si>
    <t>R$ 8.924,93</t>
  </si>
  <si>
    <t>R$ 6.261,87</t>
  </si>
  <si>
    <t>R$ 7.201,17</t>
  </si>
  <si>
    <t>R$ 6.449,74</t>
  </si>
  <si>
    <t>R$ 7.417,22</t>
  </si>
  <si>
    <t>R$ 6.643,23</t>
  </si>
  <si>
    <t>R$ 7.639,72</t>
  </si>
  <si>
    <t>R$ 6.842,53</t>
  </si>
  <si>
    <t>R$ 7.868,93</t>
  </si>
  <si>
    <t>R$ 7.047,79</t>
  </si>
  <si>
    <t>R$ 8.105,00</t>
  </si>
  <si>
    <t>R$ 7.259,23</t>
  </si>
  <si>
    <t>R$ 8.348,15</t>
  </si>
  <si>
    <t>R$ 2.691,46</t>
  </si>
  <si>
    <t>R$ 2.772,20</t>
  </si>
  <si>
    <t>R$ 2.855,36</t>
  </si>
  <si>
    <t>R$ 2.941,02</t>
  </si>
  <si>
    <t>R$ 3.029,26</t>
  </si>
  <si>
    <t>R$ 3.120,13</t>
  </si>
  <si>
    <t>R$ 2.659,09</t>
  </si>
  <si>
    <t>R$ 2.712,27</t>
  </si>
  <si>
    <t>R$ 2.766,49</t>
  </si>
  <si>
    <t>R$ 3.276,13</t>
  </si>
  <si>
    <t>R$ 3.374,42</t>
  </si>
  <si>
    <t>R$ 3.475,64</t>
  </si>
  <si>
    <t>R$ 3.579,91</t>
  </si>
  <si>
    <t>R$ 3.687,31</t>
  </si>
  <si>
    <t>R$ 3.797,93</t>
  </si>
  <si>
    <t>R$ 3.177,83</t>
  </si>
  <si>
    <t>R$ 3.241,38</t>
  </si>
  <si>
    <t>R$ 3.306,22</t>
  </si>
  <si>
    <t>R$ 3.987,83</t>
  </si>
  <si>
    <t>R$ 4.107,46</t>
  </si>
  <si>
    <t>R$ 4.230,68</t>
  </si>
  <si>
    <t>R$ 4.357,60</t>
  </si>
  <si>
    <t>R$ 4.488,34</t>
  </si>
  <si>
    <t>R$ 4.623,00</t>
  </si>
  <si>
    <t>R$ 5.621,05</t>
  </si>
  <si>
    <t>R$ 10.434,26</t>
  </si>
  <si>
    <t>R$ 4.226,25</t>
  </si>
  <si>
    <t>R$ 4.353,03</t>
  </si>
  <si>
    <t>R$ 4.483,62</t>
  </si>
  <si>
    <t>R$ 4.899,38</t>
  </si>
  <si>
    <t>R$ 3.812,29</t>
  </si>
  <si>
    <t>R$ 3.888,54</t>
  </si>
  <si>
    <t>R$ 3.966,33</t>
  </si>
  <si>
    <t>R$ 5.144,34</t>
  </si>
  <si>
    <t>R$ 5.298,67</t>
  </si>
  <si>
    <t>R$ 5.457,64</t>
  </si>
  <si>
    <t>R$ 5.621,36</t>
  </si>
  <si>
    <t>R$ 5.790,00</t>
  </si>
  <si>
    <t>R$ 5.963,70</t>
  </si>
  <si>
    <t>R$ 4.556,05</t>
  </si>
  <si>
    <t>R$ 4.647,14</t>
  </si>
  <si>
    <t>R$ 4.740,10</t>
  </si>
  <si>
    <t>R$ 6.261,88</t>
  </si>
  <si>
    <t>R$ 6.449,75</t>
  </si>
  <si>
    <t>R$ 6.643,25</t>
  </si>
  <si>
    <t>R$ 6.842,55</t>
  </si>
  <si>
    <t>R$ 7.047,82</t>
  </si>
  <si>
    <t>R$ 7.259,25</t>
  </si>
  <si>
    <t>R$ 4.662,89</t>
  </si>
  <si>
    <t>R$ 4.802,77</t>
  </si>
  <si>
    <t>R$ 4.946,86</t>
  </si>
  <si>
    <t>R$ 5.095,26</t>
  </si>
  <si>
    <t>R$ 5.248,12</t>
  </si>
  <si>
    <t>R$ 5.405,56</t>
  </si>
  <si>
    <t>R$ 4.606,78</t>
  </si>
  <si>
    <t>R$ 4.698,91</t>
  </si>
  <si>
    <t>R$ 4.792,92</t>
  </si>
  <si>
    <t>R$ 5.675,83</t>
  </si>
  <si>
    <t>R$ 5.846,11</t>
  </si>
  <si>
    <t>R$ 6.021,50</t>
  </si>
  <si>
    <t>R$ 6.202,15</t>
  </si>
  <si>
    <t>R$ 6.388,21</t>
  </si>
  <si>
    <t>R$ 6.579,85</t>
  </si>
  <si>
    <t>R$ 5.505,52</t>
  </si>
  <si>
    <t>R$ 5.615,63</t>
  </si>
  <si>
    <t>R$ 5.727,96</t>
  </si>
  <si>
    <t>R$ 6.908,84</t>
  </si>
  <si>
    <t>R$ 7.945,17</t>
  </si>
  <si>
    <t>R$ 7.116,11</t>
  </si>
  <si>
    <t>R$ 8.183,53</t>
  </si>
  <si>
    <t>R$ 7.329,59</t>
  </si>
  <si>
    <t>R$ 8.429,03</t>
  </si>
  <si>
    <t>R$ 7.549,48</t>
  </si>
  <si>
    <t>R$ 8.681,91</t>
  </si>
  <si>
    <t>R$ 7.775,97</t>
  </si>
  <si>
    <t>R$ 8.942,36</t>
  </si>
  <si>
    <t>R$ 8.009,24</t>
  </si>
  <si>
    <t>R$ 9.210,64</t>
  </si>
  <si>
    <t>R$ 3.177,70</t>
  </si>
  <si>
    <t>R$ 3.273,03</t>
  </si>
  <si>
    <t>R$ 3.371,22</t>
  </si>
  <si>
    <t>R$ 3.472,36</t>
  </si>
  <si>
    <t>R$ 3.576,53</t>
  </si>
  <si>
    <t>R$ 3.683,82</t>
  </si>
  <si>
    <t>R$ 3.139,46</t>
  </si>
  <si>
    <t>R$ 3.202,28</t>
  </si>
  <si>
    <t>R$ 3.266,29</t>
  </si>
  <si>
    <t>R$ 3.868,02</t>
  </si>
  <si>
    <t>R$ 3.984,06</t>
  </si>
  <si>
    <t>R$ 4.103,59</t>
  </si>
  <si>
    <t>R$ 4.226,70</t>
  </si>
  <si>
    <t>R$ 4.353,51</t>
  </si>
  <si>
    <t>R$ 4.484,11</t>
  </si>
  <si>
    <t>R$ 3.751,95</t>
  </si>
  <si>
    <t>R$ 3.827,00</t>
  </si>
  <si>
    <t>R$ 3.903,53</t>
  </si>
  <si>
    <t>R$ 4.708,31</t>
  </si>
  <si>
    <t>R$ 4.849,56</t>
  </si>
  <si>
    <t>R$ 4.995,05</t>
  </si>
  <si>
    <t>R$ 5.144,90</t>
  </si>
  <si>
    <t>R$ 5.299,26</t>
  </si>
  <si>
    <t>R$ 5.458,23</t>
  </si>
  <si>
    <t>R$ 5.575,83</t>
  </si>
  <si>
    <t>CARGOS EXTINTOS (19)</t>
  </si>
  <si>
    <t>R$ 6.373,85</t>
  </si>
  <si>
    <t>R$ 6.501,33</t>
  </si>
  <si>
    <t>R$ 6.631,36</t>
  </si>
  <si>
    <t>R$ 6.764,00</t>
  </si>
  <si>
    <t>R$ 6.899,28</t>
  </si>
  <si>
    <t>R$ 7.037,25</t>
  </si>
  <si>
    <t>R$ 7.617,36</t>
  </si>
  <si>
    <t>R$ 7.769,71</t>
  </si>
  <si>
    <t>R$ 7.925,09</t>
  </si>
  <si>
    <t>R$ 8.083,60</t>
  </si>
  <si>
    <t>R$ 8.245,28</t>
  </si>
  <si>
    <t>R$ 8.410,16</t>
  </si>
  <si>
    <t>R$ 757,08</t>
  </si>
  <si>
    <t>R$ 772,22</t>
  </si>
  <si>
    <t>R$ 787,69</t>
  </si>
  <si>
    <t>R$ 803,42</t>
  </si>
  <si>
    <t>R$ 819,48</t>
  </si>
  <si>
    <t>R$ 835,87</t>
  </si>
  <si>
    <t>IV</t>
  </si>
  <si>
    <t>R$ 852,58</t>
  </si>
  <si>
    <t>R$ 869,67</t>
  </si>
  <si>
    <t>R$ 887,05</t>
  </si>
  <si>
    <t>Presidente R$ 2.096,53 Membro R$ 1.514,16</t>
  </si>
  <si>
    <t>Presidente R$2.096,53 Membro R$ 1.514,16</t>
  </si>
  <si>
    <t>Concedida na forma da Lei Complementar nº 786, de 15 de julho de 2014. Presidente R$ 2.096,53 Membro R$ 1.514,16</t>
  </si>
  <si>
    <t>a partir de abril/2023</t>
  </si>
  <si>
    <t>7.517,99   e      9.397,49</t>
  </si>
  <si>
    <t>TC/CDS-9</t>
  </si>
  <si>
    <t>Auxílio-Creche e
Educação</t>
  </si>
  <si>
    <t>Auxílio-Funeral</t>
  </si>
  <si>
    <t>RESOLUÇÃO N. 413/2024/TCE-RO</t>
  </si>
  <si>
    <t>VALOR DIÁRIO</t>
  </si>
  <si>
    <t>QUOTA PRINCIPAL (BENEFICIÁRIO)</t>
  </si>
  <si>
    <t>FAIXA ETÁRIA DO AGENTE PÚBLICO</t>
  </si>
  <si>
    <t xml:space="preserve">ATÉ 34 ANOS </t>
  </si>
  <si>
    <t>35 A 54 ANOS</t>
  </si>
  <si>
    <t>55 ANOS OU MAIS</t>
  </si>
  <si>
    <t>QUOTA ADICIONAL POR DEPENDENTE (ATÉ 3)</t>
  </si>
  <si>
    <t>LIMITE TOTAL POR AGENTE PÚBLICO</t>
  </si>
  <si>
    <t>AUXÍLIO-SAÚDE</t>
  </si>
  <si>
    <t>AUXÍLIO-ALIMENTAÇÃO</t>
  </si>
  <si>
    <t>AUXÍLIO-CRECHE e AUXÍLIO-EDUCAÇÃO</t>
  </si>
  <si>
    <t>QUOTA POR DEPENDENTE (ATÉ 3)</t>
  </si>
  <si>
    <t xml:space="preserve">LIMITE TOTAL POR AGENTE PÚBLICO </t>
  </si>
  <si>
    <t>QUOTA SUPLEMENTAR POR DEPENDENTE
COM DEFICIÊNCIA</t>
  </si>
  <si>
    <t xml:space="preserve">LIMITE TOTAL POR AGENTE PÚBLICO COM
DEPENDENTE(S) COM DEFICIÊNCIA (ATÉ 3) </t>
  </si>
  <si>
    <t>AUXÍLIO-FUNERAL</t>
  </si>
  <si>
    <t>2 MESES DE REMUNERAÇÃO A QUE TERIA DIREITO O AGENTE PÚBLICO NO
MÊS DO FALECIMENTO, EXCLUÍDAS PARCELAS INDENIZATÓRIAS.</t>
  </si>
  <si>
    <t>MÍNIMO: R$ 30.000,00 (trinta mil reais)</t>
  </si>
  <si>
    <t>Indenização Especial de Transporte - IET</t>
  </si>
  <si>
    <t>RESOLUÇÃO N. 414/2024/TCE-RO</t>
  </si>
  <si>
    <t>REMUNERAÇÃO DOS CARGOS - CÓDIGO TC/CDS</t>
  </si>
  <si>
    <t>DEFINIÇÃO</t>
  </si>
  <si>
    <t>BASE DE
CONCESSÃO</t>
  </si>
  <si>
    <t>OBSERVAÇÕES</t>
  </si>
  <si>
    <t>ANEXO VII - GRATIFICAÇÕES E AUXÍLIOS</t>
  </si>
  <si>
    <t>GRATIFICAÇÕES E AUXÍLIOS</t>
  </si>
  <si>
    <t>ANEXO VIII - VALOR DA GRATIFICAÇÃO DE RESULTADOS E DE QUALIFICAÇÃO</t>
  </si>
  <si>
    <t>A partir de abril/2023</t>
  </si>
  <si>
    <t>I - Gratificação de Resultados</t>
  </si>
  <si>
    <t>VALOR DA GRATIFICAÇÃO DE RESULTADOS E DE QUALIFICAÇÃO</t>
  </si>
  <si>
    <t>II - Gratificação de Qualificação</t>
  </si>
  <si>
    <t>12% do subsídio dos Membros do Tribunal de Contas e do Ministério Público de Contas</t>
  </si>
  <si>
    <t>A partir de Fev/2024</t>
  </si>
  <si>
    <t>A partir de Fev/2025</t>
  </si>
  <si>
    <t>Descrisão</t>
  </si>
  <si>
    <t>A partir de Abr/2023</t>
  </si>
  <si>
    <t>Subsídio - Conselheiro Substituto</t>
  </si>
  <si>
    <t>Subsídio - Conselheiro e Procurador do MPC</t>
  </si>
  <si>
    <t>TABELA DE VENCIMENTOS BÁSICOS</t>
  </si>
  <si>
    <t>IV- Vencimento Básico da Carreira de Apoio Técnico e Administrativo dos Cargos de Nível Médio de Agente Operacional e dos Cargos de Nível Fundamental de Auxiliar Administrativo e Digitador</t>
  </si>
  <si>
    <t>Gratificação de Atividade em Folha de Pagamento</t>
  </si>
  <si>
    <t>Destinado a subsidiar despesas e gastos com o funeral de agentes públicos ativos.</t>
  </si>
  <si>
    <t>Visa subsidiar despesas assistenciais na primeira infância e com educação.</t>
  </si>
  <si>
    <t>Resolução n. 333/2020/TCE-RO</t>
  </si>
  <si>
    <t>Resolução n. 306/2019/TCE-RO</t>
  </si>
  <si>
    <t>Resolução n. 413/2024/TCE-RO</t>
  </si>
  <si>
    <t xml:space="preserve">Reajustável na mesma data e índices concedidos aos servidores do Tribunal. 
Dispensa regulamentação </t>
  </si>
  <si>
    <t>Gratificação de atividade de docência</t>
  </si>
  <si>
    <t>Presidente R$2.096,53   Membro R$ 1.514,16</t>
  </si>
  <si>
    <t xml:space="preserve">Destinado a subsidiar despesas com assistência à saúde dos agentes públicos em atividade.
O auxílio-saúde, de natureza indenizatória, será destinado a ressarcir os gastos com plano ou seguro oneroso de assistência à saúde, é devido a partir da data do requerimento, instruído com documento comprobatório de contratação e último comprovante de pagamento.
</t>
  </si>
  <si>
    <t>Destinado a subsidiar despesas com refeição, dos agentes públicos em atividade.
O auxílio-alimentação, de natureza indenizatória, será concedido em pecúnia ao agente público do Tribunal de Contas do Estado e do Ministério Público de Contas, a partir do efetivo exercício.</t>
  </si>
  <si>
    <t xml:space="preserve">Devido a todos os Servidores ativos para fazer face às despesas com transportes e condução utilizados para o deslocamento, trabalho/residência/trabalho ou no cumprimento de ordem e serviço.
O auxílio-transporte, de natureza indenizatória, visa a custear as despesas com deslocamentos no percurso da residência ao local de trabalho e vice-versa, será pago aos servidores públicos deste Tribunal de Contas, no valor diário que consta do Anexo Único  da Resolução  413/2024/TCE-RO.
</t>
  </si>
  <si>
    <t xml:space="preserve">QUOTA PRINCIPAL (BENEFICIÁRIO)
FAIXA ETÁRIA DO AGENTE PÚBLICO
ATÉ 34 ANOS              - Valor R$ 1.303,64      
35 A 54 ANOS             - Valor R$ 1.500,00      
55 ANOS OU MAIS     - Valor R$ 1.700,00
QUOTA ADICIONAL POR DEPENDENTE (ATÉ 3) - R$ 500,00
LIMITE TOTAL POR AGENTE PÚBLICO  - R$ 2.800,00
</t>
  </si>
  <si>
    <t>2 MESES DE REMUNERAÇÃO A QUE TERIA DIREITO O  AGENTE PÚBLICO NO MÊS DO FALECIMENTO, EXCLUÍDAS PARCELAS INDENIZATÓRIAS.
MÍNIMO: R$ 30.000,00 (trinta mil reais)</t>
  </si>
  <si>
    <t>QUOTA POR DEPENDENTE (ATÉ 3) - R$ 500,00
LIMITE TOTAL POR AGENTE PÚBLICO - R$ 1.500,00
QUOTA SUPLEMENTAR POR DEPENDENTE COM DEFICIÊNCIA  - R$ 250,00
LIMITE TOTAL POR AGENTE PÚBLICO COM
DEPENDENTE(S) COM DEFICIÊNCIA (ATÉ 3)  - R$ 2.250,00</t>
  </si>
  <si>
    <t>Devida ao servidor não ocupante de cargo em comissão ou função gratificada, lotado e em exercício exclusivo na unidade competente pelo processamento e gerenciamento das folhas de pagamento do Tribunal de Contas.</t>
  </si>
  <si>
    <t>Auxílio-Saúde</t>
  </si>
  <si>
    <t>Auxílio-Alimentação</t>
  </si>
  <si>
    <t>Auxílio-Transporte</t>
  </si>
  <si>
    <t>Agente Operacional (em extinção)</t>
  </si>
  <si>
    <t>Agente Operacional – em extinção</t>
  </si>
  <si>
    <t>* LEI N° 5.539, DE 29 DE MARÇO DE 2023</t>
  </si>
  <si>
    <t>* Art. 65, § 10  da Lei Complementar nº 154, de 26 de julho de 1996;</t>
  </si>
  <si>
    <t>Representação para os Membros do Tribunal de Contas</t>
  </si>
  <si>
    <t>Presidente</t>
  </si>
  <si>
    <t>25% do Subsídio</t>
  </si>
  <si>
    <t>Vice-Presidente, Corregedor e os Presidentes de Câmaras</t>
  </si>
  <si>
    <t>20% do Subsídio</t>
  </si>
  <si>
    <t>Representação para  os Membros do Ministério Público de Contas</t>
  </si>
  <si>
    <t>Procurador-Geral e Corregedor *</t>
  </si>
  <si>
    <t>Corregedor* e  Subprocuradoria-Geral, a Subprocuradoria-Auxiliar da Procuradoria-Geral, a Ouvidoria-Geral e o Centro de Apoio Operacional**</t>
  </si>
  <si>
    <t>* Art. xx, § xx  da Lei Complementar nº 799/2014;
** Art. 31 da  Lei Complementar nº 1.218/2024</t>
  </si>
  <si>
    <t>Membros do Tribunal de Contas e do Ministério Público de Contas</t>
  </si>
  <si>
    <t>*RESOLUÇÃO N. 414/2024/TCE-RO</t>
  </si>
  <si>
    <t>* Art. 83 da Lei Complementar nº 799/2014;
** Art. 31 da  Lei Complementar nº 1.218/2024</t>
  </si>
  <si>
    <t>Procurador-Geral *</t>
  </si>
  <si>
    <t>Analista Administrativo 
Analista de Tecnologia da Informação</t>
  </si>
  <si>
    <t>Presidente R$ 2.193,39 Membro R$ 1.584,11</t>
  </si>
  <si>
    <t>Concedida na forma da Lei Complementar nº 786, de 15 de julho de 2014. Presidente R$ 2.193,39 Membro R$ 1.584,11</t>
  </si>
  <si>
    <t>Auditor de Controle Externo
Analista Administrativo 
Analista de Tecnologia da Informação
Procurador Jurídico</t>
  </si>
  <si>
    <t>Dta. Início Gratificação</t>
  </si>
  <si>
    <t>Carreira</t>
  </si>
  <si>
    <t>Valor Graduação/ Especialização</t>
  </si>
  <si>
    <t>Valor Mestrado</t>
  </si>
  <si>
    <t>Valor Doutorado</t>
  </si>
  <si>
    <t>01/04/2025</t>
  </si>
  <si>
    <t>1.140,60</t>
  </si>
  <si>
    <t>1.163,42</t>
  </si>
  <si>
    <t>1.186,69</t>
  </si>
  <si>
    <t>1.210,42</t>
  </si>
  <si>
    <t>1.234,62</t>
  </si>
  <si>
    <t>1.259,31</t>
  </si>
  <si>
    <t>1.284,51</t>
  </si>
  <si>
    <t>1.310,20</t>
  </si>
  <si>
    <t>1.336,41</t>
  </si>
  <si>
    <t>1.363,13</t>
  </si>
  <si>
    <t>1.390,40</t>
  </si>
  <si>
    <t>1.418,20</t>
  </si>
  <si>
    <t>1.446,55</t>
  </si>
  <si>
    <t>1.475,48</t>
  </si>
  <si>
    <t>1.003,33</t>
  </si>
  <si>
    <t>1.505,01</t>
  </si>
  <si>
    <t>1.023,40</t>
  </si>
  <si>
    <t>1.535,10</t>
  </si>
  <si>
    <t>1.043,87</t>
  </si>
  <si>
    <t>1.565,80</t>
  </si>
  <si>
    <t>1.064,74</t>
  </si>
  <si>
    <t>1.597,12</t>
  </si>
  <si>
    <t>1.004,91</t>
  </si>
  <si>
    <t>1.025,01</t>
  </si>
  <si>
    <t>01/10/2024</t>
  </si>
  <si>
    <t>1.405,22</t>
  </si>
  <si>
    <t>1.433,34</t>
  </si>
  <si>
    <t>1.462,00</t>
  </si>
  <si>
    <t>1.491,24</t>
  </si>
  <si>
    <t>1.014,04</t>
  </si>
  <si>
    <t>1.521,07</t>
  </si>
  <si>
    <t>1.377,67</t>
  </si>
  <si>
    <t>01/04/2024</t>
  </si>
  <si>
    <t>1.086,29</t>
  </si>
  <si>
    <t>1.108,02</t>
  </si>
  <si>
    <t>1.130,18</t>
  </si>
  <si>
    <t>1.152,78</t>
  </si>
  <si>
    <t>1.175,83</t>
  </si>
  <si>
    <t>1.199,34</t>
  </si>
  <si>
    <t>1.223,34</t>
  </si>
  <si>
    <t>1.247,81</t>
  </si>
  <si>
    <t>1.272,77</t>
  </si>
  <si>
    <t>1.298,22</t>
  </si>
  <si>
    <t>1.324,19</t>
  </si>
  <si>
    <t>1.350,67</t>
  </si>
  <si>
    <t>01/04/2023</t>
  </si>
  <si>
    <t>1.038,32</t>
  </si>
  <si>
    <t>1.059,09</t>
  </si>
  <si>
    <t>1.080,27</t>
  </si>
  <si>
    <t>1.101,87</t>
  </si>
  <si>
    <t>1.123,91</t>
  </si>
  <si>
    <t>1.146,38</t>
  </si>
  <si>
    <t>1.169,32</t>
  </si>
  <si>
    <t>1.192,71</t>
  </si>
  <si>
    <t>1.216,56</t>
  </si>
  <si>
    <t>1.240,89</t>
  </si>
  <si>
    <t>1.265,71</t>
  </si>
  <si>
    <t>1.291,02</t>
  </si>
  <si>
    <t>1.316,83</t>
  </si>
  <si>
    <t>1.343,17</t>
  </si>
  <si>
    <t>1.370,04</t>
  </si>
  <si>
    <t>1.397,44</t>
  </si>
  <si>
    <t>1.425,39</t>
  </si>
  <si>
    <t>1.453,90</t>
  </si>
  <si>
    <t>01/04/2022</t>
  </si>
  <si>
    <t>1.006,87</t>
  </si>
  <si>
    <t>1.027,00</t>
  </si>
  <si>
    <t>1.047,54</t>
  </si>
  <si>
    <t>1.068,49</t>
  </si>
  <si>
    <t>1.089,87</t>
  </si>
  <si>
    <t>1.111,67</t>
  </si>
  <si>
    <t>1.133,90</t>
  </si>
  <si>
    <t>1.156,58</t>
  </si>
  <si>
    <t>1.179,71</t>
  </si>
  <si>
    <t>1.203,30</t>
  </si>
  <si>
    <t>1.227,36</t>
  </si>
  <si>
    <t>1.251,91</t>
  </si>
  <si>
    <t>1.276,95</t>
  </si>
  <si>
    <t>1.302,49</t>
  </si>
  <si>
    <t>1.328,54</t>
  </si>
  <si>
    <t>1.355,11</t>
  </si>
  <si>
    <t>01/01/2020</t>
  </si>
  <si>
    <t>1.003,93</t>
  </si>
  <si>
    <t>1.024,01</t>
  </si>
  <si>
    <t>1.044,49</t>
  </si>
  <si>
    <t>1.065,38</t>
  </si>
  <si>
    <t>1.086,69</t>
  </si>
  <si>
    <t>1.108,42</t>
  </si>
  <si>
    <t>1.130,58</t>
  </si>
  <si>
    <t>1.153,20</t>
  </si>
  <si>
    <t>1.176,26</t>
  </si>
  <si>
    <t>1.199,79</t>
  </si>
  <si>
    <t>1.223,78</t>
  </si>
  <si>
    <t>1.248,26</t>
  </si>
  <si>
    <t>R$ 3.706,86</t>
  </si>
  <si>
    <t>R$ 1.853,43</t>
  </si>
  <si>
    <t>R$ 5.992,46</t>
  </si>
  <si>
    <t>R$ 2.996,23</t>
  </si>
  <si>
    <t>R$ 7.446,96</t>
  </si>
  <si>
    <t>R$ 3.723,48</t>
  </si>
  <si>
    <t>R$ 8.485,86</t>
  </si>
  <si>
    <t>R$ 4.242,92</t>
  </si>
  <si>
    <t>R$ 12.641,51</t>
  </si>
  <si>
    <t>R$ 6.320,75</t>
  </si>
  <si>
    <t>R$ 16.191,26</t>
  </si>
  <si>
    <t>R$ 8.095,63</t>
  </si>
  <si>
    <t>R$ 19.172,12</t>
  </si>
  <si>
    <t>R$ 9.586,06</t>
  </si>
  <si>
    <t>R$ 26.815,74</t>
  </si>
  <si>
    <t>R$ 13.407,86</t>
  </si>
  <si>
    <t>R$ 29.012,76</t>
  </si>
  <si>
    <t>R$ 14.506,38</t>
  </si>
  <si>
    <t>R$ 13.514,75</t>
  </si>
  <si>
    <t>R$ 13.920,19</t>
  </si>
  <si>
    <t>R$ 14.337,79</t>
  </si>
  <si>
    <t>R$ 14.767,94</t>
  </si>
  <si>
    <t>R$ 15.210,97</t>
  </si>
  <si>
    <t>R$ 15.667,30</t>
  </si>
  <si>
    <t>R$ 9.121,30</t>
  </si>
  <si>
    <t>R$ 9.394,94</t>
  </si>
  <si>
    <t>R$ 9.676,79</t>
  </si>
  <si>
    <t>R$ 9.967,09</t>
  </si>
  <si>
    <t>R$ 10.266,10</t>
  </si>
  <si>
    <t>R$ 10.574,08</t>
  </si>
  <si>
    <t>R$ 7.885,10</t>
  </si>
  <si>
    <t>R$ 8.042,83</t>
  </si>
  <si>
    <t>R$ 8.203,65</t>
  </si>
  <si>
    <t>R$ 11.102,79</t>
  </si>
  <si>
    <t>R$ 11.435,89</t>
  </si>
  <si>
    <t>R$ 11.778,96</t>
  </si>
  <si>
    <t>R$ 12.132,33</t>
  </si>
  <si>
    <t>R$ 12.496,30</t>
  </si>
  <si>
    <t>R$ 12.871,18</t>
  </si>
  <si>
    <t>R$ 9.423,42</t>
  </si>
  <si>
    <t>R$ 9.611,90</t>
  </si>
  <si>
    <t>R$ 9.804,13</t>
  </si>
  <si>
    <t>R$ 17.873,25</t>
  </si>
  <si>
    <t>R$ 15.541,97</t>
  </si>
  <si>
    <t>R$ 18.409,45</t>
  </si>
  <si>
    <t>R$ 16.008,23</t>
  </si>
  <si>
    <t>R$ 18.961,74</t>
  </si>
  <si>
    <t>R$ 16.488,49</t>
  </si>
  <si>
    <t>R$ 19.530,60</t>
  </si>
  <si>
    <t>R$ 16.983,13</t>
  </si>
  <si>
    <t>R$ 20.116,51</t>
  </si>
  <si>
    <t>R$ 17.492,61</t>
  </si>
  <si>
    <t>R$ 20.719,99</t>
  </si>
  <si>
    <t>R$ 18.017,39</t>
  </si>
  <si>
    <t>R$ 6.878,73</t>
  </si>
  <si>
    <t>R$ 7.085,11</t>
  </si>
  <si>
    <t>R$ 7.297,66</t>
  </si>
  <si>
    <t>R$ 7.516,58</t>
  </si>
  <si>
    <t>R$ 7.742,07</t>
  </si>
  <si>
    <t>R$ 7.974,34</t>
  </si>
  <si>
    <t>R$ 4.642,56</t>
  </si>
  <si>
    <t>R$ 4.781,84</t>
  </si>
  <si>
    <t>R$ 4.925,29</t>
  </si>
  <si>
    <t>R$ 5.073,06</t>
  </si>
  <si>
    <t>R$ 5.225,25</t>
  </si>
  <si>
    <t>R$ 5.382,01</t>
  </si>
  <si>
    <t>R$ 8.203,67</t>
  </si>
  <si>
    <t>R$ 5.651,10</t>
  </si>
  <si>
    <t>R$ 5.820,63</t>
  </si>
  <si>
    <t>R$ 5.995,26</t>
  </si>
  <si>
    <t>R$ 6.175,11</t>
  </si>
  <si>
    <t>R$ 6.360,36</t>
  </si>
  <si>
    <t>R$ 6.551,17</t>
  </si>
  <si>
    <t>R$ 9.423,46</t>
  </si>
  <si>
    <t>R$ 9.804,12</t>
  </si>
  <si>
    <t>R$ 7.910,55</t>
  </si>
  <si>
    <t>R$ 8.147,90</t>
  </si>
  <si>
    <t>R$ 8.392,31</t>
  </si>
  <si>
    <t>R$ 8.644,09</t>
  </si>
  <si>
    <t>R$ 8.903,42</t>
  </si>
  <si>
    <t>R$ 9.170,52</t>
  </si>
  <si>
    <t>R$ 4.380,67</t>
  </si>
  <si>
    <t>R$ 4.512,08</t>
  </si>
  <si>
    <t>R$ 4.647,45</t>
  </si>
  <si>
    <t>R$ 4.786,87</t>
  </si>
  <si>
    <t>R$ 4.930,49</t>
  </si>
  <si>
    <t>R$ 5.078,41</t>
  </si>
  <si>
    <t>R$ 2.956,60</t>
  </si>
  <si>
    <t>R$ 3.045,29</t>
  </si>
  <si>
    <t>R$ 3.136,64</t>
  </si>
  <si>
    <t>R$ 3.230,75</t>
  </si>
  <si>
    <t>R$ 3.327,67</t>
  </si>
  <si>
    <t>R$ 3.427,49</t>
  </si>
  <si>
    <t>R$ 2.921,04</t>
  </si>
  <si>
    <t>R$ 2.979,46</t>
  </si>
  <si>
    <t>R$ 3.039,02</t>
  </si>
  <si>
    <t>R$ 3.598,86</t>
  </si>
  <si>
    <t>R$ 3.706,84</t>
  </si>
  <si>
    <t>R$ 3.818,02</t>
  </si>
  <si>
    <t>R$ 3.932,57</t>
  </si>
  <si>
    <t>R$ 4.050,54</t>
  </si>
  <si>
    <t>R$ 4.172,06</t>
  </si>
  <si>
    <t>R$ 3.490,88</t>
  </si>
  <si>
    <t>R$ 3.560,69</t>
  </si>
  <si>
    <t>R$ 3.631,92</t>
  </si>
  <si>
    <t>R$ 6.174,78</t>
  </si>
  <si>
    <t>R$ 11.462,14</t>
  </si>
  <si>
    <t>R$ 6.878,74</t>
  </si>
  <si>
    <t>R$ 7.085,12</t>
  </si>
  <si>
    <t>R$ 7.297,68</t>
  </si>
  <si>
    <t>R$ 7.516,61</t>
  </si>
  <si>
    <t>R$ 7.742,10</t>
  </si>
  <si>
    <t>R$ 7.974,36</t>
  </si>
  <si>
    <t>R$ 4.642,58</t>
  </si>
  <si>
    <t>R$ 4.781,85</t>
  </si>
  <si>
    <t>R$ 4.925,30</t>
  </si>
  <si>
    <t>R$ 5.382,02</t>
  </si>
  <si>
    <t>R$ 4.187,84</t>
  </si>
  <si>
    <t>R$ 4.271,60</t>
  </si>
  <si>
    <t>R$ 4.357,05</t>
  </si>
  <si>
    <t>R$ 5.651,11</t>
  </si>
  <si>
    <t>R$ 5.820,64</t>
  </si>
  <si>
    <t>R$ 5.995,27</t>
  </si>
  <si>
    <t>R$ 6.175,12</t>
  </si>
  <si>
    <t>R$ 6.360,38</t>
  </si>
  <si>
    <t>R$ 6.551,18</t>
  </si>
  <si>
    <t>R$ 5.004,87</t>
  </si>
  <si>
    <t>R$ 5.104,93</t>
  </si>
  <si>
    <t>R$ 5.207,04</t>
  </si>
  <si>
    <t>R$ 7.589,43</t>
  </si>
  <si>
    <t>R$ 7.817,11</t>
  </si>
  <si>
    <t>R$ 8.051,63</t>
  </si>
  <si>
    <t>R$ 8.293,18</t>
  </si>
  <si>
    <t>R$ 8.541,98</t>
  </si>
  <si>
    <t>R$ 8.798,23</t>
  </si>
  <si>
    <t>R$ 5.122,24</t>
  </si>
  <si>
    <t>R$ 5.275,89</t>
  </si>
  <si>
    <t>R$ 5.434,17</t>
  </si>
  <si>
    <t>R$ 5.597,19</t>
  </si>
  <si>
    <t>R$ 5.765,11</t>
  </si>
  <si>
    <t>R$ 5.938,07</t>
  </si>
  <si>
    <t>R$ 5.060,59</t>
  </si>
  <si>
    <t>R$ 5.161,80</t>
  </si>
  <si>
    <t>R$ 5.265,07</t>
  </si>
  <si>
    <t>R$ 6.234,95</t>
  </si>
  <si>
    <t>R$ 6.422,01</t>
  </si>
  <si>
    <t>R$ 6.614,67</t>
  </si>
  <si>
    <t>R$ 6.813,12</t>
  </si>
  <si>
    <t>R$ 7.017,52</t>
  </si>
  <si>
    <t>R$ 7.228,03</t>
  </si>
  <si>
    <t>R$ 6.047,87</t>
  </si>
  <si>
    <t>R$ 6.168,82</t>
  </si>
  <si>
    <t>R$ 6.292,22</t>
  </si>
  <si>
    <t>R$ 8.727,85</t>
  </si>
  <si>
    <t>R$ 8.989,69</t>
  </si>
  <si>
    <t>R$ 9.259,37</t>
  </si>
  <si>
    <t>R$ 9.537,16</t>
  </si>
  <si>
    <t>R$ 9.823,28</t>
  </si>
  <si>
    <t>R$ 10.117,98</t>
  </si>
  <si>
    <t>R$ 5.172,12</t>
  </si>
  <si>
    <t>R$ 5.327,29</t>
  </si>
  <si>
    <t>R$ 5.487,11</t>
  </si>
  <si>
    <t>R$ 5.651,72</t>
  </si>
  <si>
    <t>R$ 5.821,29</t>
  </si>
  <si>
    <t>R$ 5.995,92</t>
  </si>
  <si>
    <t>R$ 3.490,74</t>
  </si>
  <si>
    <t>R$ 3.595,45</t>
  </si>
  <si>
    <t>R$ 3.703,32</t>
  </si>
  <si>
    <t>R$ 3.814,42</t>
  </si>
  <si>
    <t>R$ 3.928,86</t>
  </si>
  <si>
    <t>R$ 4.046,71</t>
  </si>
  <si>
    <t>R$ 3.448,73</t>
  </si>
  <si>
    <t>R$ 3.517,74</t>
  </si>
  <si>
    <t>R$ 3.588,05</t>
  </si>
  <si>
    <t>R$ 4.249,06</t>
  </si>
  <si>
    <t>R$ 4.376,53</t>
  </si>
  <si>
    <t>R$ 4.507,84</t>
  </si>
  <si>
    <t>R$ 4.643,07</t>
  </si>
  <si>
    <t>R$ 4.782,37</t>
  </si>
  <si>
    <t>R$ 4.925,84</t>
  </si>
  <si>
    <t>R$ 4.121,55</t>
  </si>
  <si>
    <t>R$ 4.204,00</t>
  </si>
  <si>
    <t>R$ 4.288,06</t>
  </si>
  <si>
    <t>R$ 6.125,10</t>
  </si>
  <si>
    <t>R$ 7.001,74</t>
  </si>
  <si>
    <t>R$ 7.141,77</t>
  </si>
  <si>
    <t>R$ 7.284,62</t>
  </si>
  <si>
    <t>R$ 7.430,33</t>
  </si>
  <si>
    <t>R$ 7.578,93</t>
  </si>
  <si>
    <t>R$ 7.730,49</t>
  </si>
  <si>
    <t>R$ 8.367,74</t>
  </si>
  <si>
    <t>R$ 8.535,10</t>
  </si>
  <si>
    <t>R$ 8.705,79</t>
  </si>
  <si>
    <t>R$ 8.879,91</t>
  </si>
  <si>
    <t>R$ 9.057,52</t>
  </si>
  <si>
    <t>R$ 9.238,65</t>
  </si>
  <si>
    <t>R$ 831,66</t>
  </si>
  <si>
    <t>R$ 848,30</t>
  </si>
  <si>
    <t>R$ 865,28</t>
  </si>
  <si>
    <t>R$ 882,57</t>
  </si>
  <si>
    <t>R$ 900,21</t>
  </si>
  <si>
    <t>R$ 918,21</t>
  </si>
  <si>
    <t>R$ 936,57</t>
  </si>
  <si>
    <t>R$ 955,34</t>
  </si>
  <si>
    <t>R$ 974,43</t>
  </si>
  <si>
    <t>A partir de abril/2025</t>
  </si>
  <si>
    <t>A partir de abril/2024</t>
  </si>
  <si>
    <t>Resolução n. 431/2025/TCE-RO</t>
  </si>
  <si>
    <t>QUOTA POR DEPENDENTE (ATÉ 3) - R$ 750,00
LIMITE TOTAL POR AGENTE PÚBLICO - R$ 2.250,00
QUOTA SUPLEMENTAR POR DEPENDENTE COM DEFICIÊNCIA  - R$ 375,00
LIMITE TOTAL POR AGENTE PÚBLICO COM
DEPENDENTE(S) COM DEFICIÊNCIA (ATÉ 3)  - R$ 3.375,00</t>
  </si>
  <si>
    <t>Resolução n. 435/2025/TCE-RO</t>
  </si>
  <si>
    <t xml:space="preserve">QUOTA PRINCIPAL (BENEFICIÁRIO)
FAIXA ETÁRIA DO AGENTE PÚBLICO
ATÉ 34 ANOS              - Valor R$ 1.603,48      
35 A 54 ANOS             - Valor R$ 1.845,00      
55 ANOS OU MAIS     - Valor R$ 2.091,00
QUOTA ADICIONAL POR DEPENDENTE (ATÉ 3) - R$ 615,00
LIMITE TOTAL POR AGENTE PÚBLICO  - R$ 3.444,00
</t>
  </si>
  <si>
    <t>Presidente R$ 2.303,06 Membro R$ 1.663,32</t>
  </si>
  <si>
    <t>Resolução n. 306/2019/TCE-RO e Atualizações Legais</t>
  </si>
  <si>
    <t>Concedida na forma da Lei Complementar nº 786, de 15 de julho de 2014. Presidente R$ 2.303,06 Membro R$ 1.663,32</t>
  </si>
  <si>
    <t>A partir de abril/2026</t>
  </si>
  <si>
    <t>Resolução n. 444/2025/TCE-RO</t>
  </si>
  <si>
    <t xml:space="preserve">QUOTA PRINCIPAL (BENEFICIÁRIO)
FAIXA ETÁRIA DO AGENTE PÚBLICO
ATÉ 34 ANOS              - Valor R$ 1.852,02      
35 A 54 ANOS             - Valor R$ 2.130,98      
55 ANOS OU MAIS     - Valor R$ 2.415,11
QUOTA ADICIONAL POR DEPENDENTE (ATÉ 3) - R$ 710,33
LIMITE TOTAL POR AGENTE PÚBLICO  - R$ 3.977,82
</t>
  </si>
  <si>
    <t>Concedida na forma da Lei Complementar nº 786, de 15 de julho de 2014. Presidente R$ 2.418,21 Membro R$ 1.746,49</t>
  </si>
  <si>
    <t>Presidente R$ 2.418,21 Membro R$ 1.746,49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</si>
</sst>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R$&quot;#,##0;[Red]\-&quot;R$&quot;#,##0"/>
    <numFmt numFmtId="165" formatCode="&quot;R$&quot;#,##0.00;[Red]\-&quot;R$&quot;#,##0.00"/>
    <numFmt numFmtId="166" formatCode="#,##0.00;#,##0.00"/>
    <numFmt numFmtId="167" formatCode="###0;###0"/>
    <numFmt numFmtId="168" formatCode="###0.00;###0.00"/>
    <numFmt numFmtId="169" formatCode="###0.0;###0.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"/>
      <name val="Arial"/>
      <family val="2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8" fillId="0" borderId="0"/>
  </cellStyleXfs>
  <cellXfs count="255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166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43" fontId="0" fillId="0" borderId="0" xfId="1" applyFont="1"/>
    <xf numFmtId="165" fontId="0" fillId="0" borderId="1" xfId="0" applyNumberFormat="1" applyBorder="1"/>
    <xf numFmtId="0" fontId="7" fillId="0" borderId="0" xfId="2"/>
    <xf numFmtId="0" fontId="6" fillId="0" borderId="0" xfId="2" applyFont="1"/>
    <xf numFmtId="1" fontId="7" fillId="0" borderId="0" xfId="2" applyNumberFormat="1"/>
    <xf numFmtId="165" fontId="7" fillId="0" borderId="0" xfId="2" applyNumberFormat="1"/>
    <xf numFmtId="1" fontId="7" fillId="2" borderId="0" xfId="2" applyNumberFormat="1" applyFill="1"/>
    <xf numFmtId="0" fontId="7" fillId="2" borderId="0" xfId="2" applyFill="1"/>
    <xf numFmtId="165" fontId="7" fillId="2" borderId="0" xfId="2" applyNumberFormat="1" applyFill="1"/>
    <xf numFmtId="165" fontId="0" fillId="0" borderId="0" xfId="0" applyNumberFormat="1"/>
    <xf numFmtId="0" fontId="1" fillId="3" borderId="6" xfId="0" applyFont="1" applyFill="1" applyBorder="1" applyAlignment="1">
      <alignment horizontal="left" vertical="top"/>
    </xf>
    <xf numFmtId="167" fontId="8" fillId="3" borderId="7" xfId="0" applyNumberFormat="1" applyFont="1" applyFill="1" applyBorder="1" applyAlignment="1">
      <alignment horizontal="left" vertical="top"/>
    </xf>
    <xf numFmtId="167" fontId="8" fillId="3" borderId="8" xfId="0" applyNumberFormat="1" applyFont="1" applyFill="1" applyBorder="1" applyAlignment="1">
      <alignment vertical="top"/>
    </xf>
    <xf numFmtId="167" fontId="8" fillId="3" borderId="9" xfId="0" applyNumberFormat="1" applyFont="1" applyFill="1" applyBorder="1" applyAlignment="1">
      <alignment vertical="top"/>
    </xf>
    <xf numFmtId="167" fontId="8" fillId="3" borderId="10" xfId="0" applyNumberFormat="1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68" fontId="2" fillId="0" borderId="12" xfId="0" applyNumberFormat="1" applyFont="1" applyBorder="1" applyAlignment="1">
      <alignment horizontal="center" vertical="center" wrapText="1"/>
    </xf>
    <xf numFmtId="168" fontId="2" fillId="0" borderId="13" xfId="0" applyNumberFormat="1" applyFont="1" applyBorder="1" applyAlignment="1">
      <alignment horizontal="center" vertical="center" wrapText="1"/>
    </xf>
    <xf numFmtId="168" fontId="2" fillId="0" borderId="10" xfId="0" applyNumberFormat="1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vertical="center" wrapText="1"/>
    </xf>
    <xf numFmtId="168" fontId="2" fillId="0" borderId="16" xfId="0" applyNumberFormat="1" applyFont="1" applyBorder="1" applyAlignment="1">
      <alignment horizontal="center" vertical="center" wrapText="1"/>
    </xf>
    <xf numFmtId="168" fontId="2" fillId="0" borderId="17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8" fontId="11" fillId="0" borderId="7" xfId="0" applyNumberFormat="1" applyFont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165" fontId="7" fillId="2" borderId="0" xfId="2" applyNumberFormat="1" applyFill="1" applyAlignment="1">
      <alignment wrapText="1"/>
    </xf>
    <xf numFmtId="168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4" fontId="13" fillId="0" borderId="1" xfId="0" applyNumberFormat="1" applyFont="1" applyBorder="1" applyAlignment="1">
      <alignment vertical="top" wrapText="1"/>
    </xf>
    <xf numFmtId="0" fontId="13" fillId="3" borderId="6" xfId="0" applyFont="1" applyFill="1" applyBorder="1" applyAlignment="1">
      <alignment horizontal="left" vertical="top"/>
    </xf>
    <xf numFmtId="167" fontId="12" fillId="3" borderId="7" xfId="0" applyNumberFormat="1" applyFont="1" applyFill="1" applyBorder="1" applyAlignment="1">
      <alignment horizontal="left" vertical="top"/>
    </xf>
    <xf numFmtId="167" fontId="12" fillId="3" borderId="8" xfId="0" applyNumberFormat="1" applyFont="1" applyFill="1" applyBorder="1" applyAlignment="1">
      <alignment vertical="top"/>
    </xf>
    <xf numFmtId="167" fontId="12" fillId="3" borderId="9" xfId="0" applyNumberFormat="1" applyFont="1" applyFill="1" applyBorder="1" applyAlignment="1">
      <alignment vertical="top"/>
    </xf>
    <xf numFmtId="167" fontId="12" fillId="3" borderId="10" xfId="0" applyNumberFormat="1" applyFont="1" applyFill="1" applyBorder="1" applyAlignment="1">
      <alignment vertical="top"/>
    </xf>
    <xf numFmtId="0" fontId="13" fillId="3" borderId="11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168" fontId="14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168" fontId="14" fillId="0" borderId="12" xfId="0" applyNumberFormat="1" applyFont="1" applyBorder="1" applyAlignment="1">
      <alignment horizontal="center" vertical="center" wrapText="1"/>
    </xf>
    <xf numFmtId="168" fontId="14" fillId="0" borderId="13" xfId="0" applyNumberFormat="1" applyFont="1" applyBorder="1" applyAlignment="1">
      <alignment horizontal="center" vertical="center" wrapText="1"/>
    </xf>
    <xf numFmtId="168" fontId="14" fillId="0" borderId="10" xfId="0" applyNumberFormat="1" applyFont="1" applyBorder="1" applyAlignment="1">
      <alignment horizontal="center" vertical="center" wrapText="1"/>
    </xf>
    <xf numFmtId="168" fontId="14" fillId="0" borderId="7" xfId="0" applyNumberFormat="1" applyFont="1" applyBorder="1" applyAlignment="1">
      <alignment horizontal="center" vertical="center" wrapText="1"/>
    </xf>
    <xf numFmtId="168" fontId="14" fillId="0" borderId="8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8" fontId="14" fillId="0" borderId="15" xfId="0" applyNumberFormat="1" applyFont="1" applyBorder="1" applyAlignment="1">
      <alignment horizontal="center" vertical="center" wrapText="1"/>
    </xf>
    <xf numFmtId="168" fontId="14" fillId="0" borderId="16" xfId="0" applyNumberFormat="1" applyFont="1" applyBorder="1" applyAlignment="1">
      <alignment horizontal="center" vertical="center" wrapText="1"/>
    </xf>
    <xf numFmtId="168" fontId="14" fillId="0" borderId="17" xfId="0" applyNumberFormat="1" applyFont="1" applyBorder="1" applyAlignment="1">
      <alignment horizontal="center" vertical="center" wrapText="1"/>
    </xf>
    <xf numFmtId="168" fontId="14" fillId="0" borderId="14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Font="1" applyFill="1" applyBorder="1"/>
    <xf numFmtId="1" fontId="0" fillId="0" borderId="0" xfId="0" applyNumberFormat="1" applyFont="1" applyFill="1" applyBorder="1"/>
    <xf numFmtId="4" fontId="7" fillId="2" borderId="0" xfId="2" applyNumberForma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wrapText="1"/>
    </xf>
    <xf numFmtId="164" fontId="0" fillId="0" borderId="1" xfId="0" applyNumberFormat="1" applyBorder="1"/>
    <xf numFmtId="165" fontId="0" fillId="0" borderId="1" xfId="1" applyNumberFormat="1" applyFont="1" applyBorder="1"/>
    <xf numFmtId="0" fontId="0" fillId="0" borderId="0" xfId="0" applyAlignment="1"/>
    <xf numFmtId="0" fontId="12" fillId="3" borderId="10" xfId="0" applyFont="1" applyFill="1" applyBorder="1" applyAlignment="1">
      <alignment horizontal="left" vertical="center"/>
    </xf>
    <xf numFmtId="168" fontId="14" fillId="0" borderId="10" xfId="0" applyNumberFormat="1" applyFont="1" applyBorder="1" applyAlignment="1">
      <alignment horizontal="right" vertical="center"/>
    </xf>
    <xf numFmtId="17" fontId="17" fillId="0" borderId="1" xfId="0" applyNumberFormat="1" applyFont="1" applyBorder="1" applyAlignment="1">
      <alignment horizontal="left" vertical="center"/>
    </xf>
    <xf numFmtId="43" fontId="17" fillId="0" borderId="1" xfId="0" applyNumberFormat="1" applyFont="1" applyFill="1" applyBorder="1"/>
    <xf numFmtId="0" fontId="7" fillId="0" borderId="1" xfId="2" applyFill="1" applyBorder="1"/>
    <xf numFmtId="0" fontId="0" fillId="0" borderId="0" xfId="0" applyAlignment="1">
      <alignment horizontal="right"/>
    </xf>
    <xf numFmtId="17" fontId="17" fillId="0" borderId="1" xfId="0" applyNumberFormat="1" applyFont="1" applyBorder="1" applyAlignment="1">
      <alignment horizontal="right" vertical="center"/>
    </xf>
    <xf numFmtId="43" fontId="17" fillId="0" borderId="1" xfId="0" applyNumberFormat="1" applyFont="1" applyFill="1" applyBorder="1" applyAlignment="1">
      <alignment horizontal="right"/>
    </xf>
    <xf numFmtId="1" fontId="7" fillId="0" borderId="1" xfId="2" applyNumberFormat="1" applyFill="1" applyBorder="1" applyAlignment="1">
      <alignment horizontal="right"/>
    </xf>
    <xf numFmtId="0" fontId="7" fillId="0" borderId="1" xfId="2" applyFill="1" applyBorder="1" applyAlignment="1">
      <alignment wrapText="1"/>
    </xf>
    <xf numFmtId="1" fontId="7" fillId="0" borderId="1" xfId="2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68" fontId="14" fillId="0" borderId="0" xfId="0" applyNumberFormat="1" applyFont="1" applyBorder="1" applyAlignment="1">
      <alignment horizontal="center" vertical="center" wrapText="1"/>
    </xf>
    <xf numFmtId="168" fontId="14" fillId="0" borderId="0" xfId="0" applyNumberFormat="1" applyFont="1" applyBorder="1" applyAlignment="1">
      <alignment horizontal="left"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168" fontId="14" fillId="0" borderId="10" xfId="0" applyNumberFormat="1" applyFont="1" applyBorder="1" applyAlignment="1">
      <alignment horizontal="center" vertical="center"/>
    </xf>
    <xf numFmtId="43" fontId="14" fillId="0" borderId="12" xfId="1" applyFont="1" applyBorder="1" applyAlignment="1">
      <alignment horizontal="right" vertical="center" wrapText="1"/>
    </xf>
    <xf numFmtId="168" fontId="14" fillId="0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5" fillId="6" borderId="0" xfId="0" applyFont="1" applyFill="1" applyBorder="1"/>
    <xf numFmtId="4" fontId="0" fillId="0" borderId="0" xfId="0" applyNumberFormat="1"/>
    <xf numFmtId="0" fontId="18" fillId="0" borderId="0" xfId="3" applyFont="1" applyFill="1" applyBorder="1"/>
    <xf numFmtId="0" fontId="19" fillId="6" borderId="0" xfId="3" applyFont="1" applyFill="1" applyBorder="1"/>
    <xf numFmtId="1" fontId="18" fillId="0" borderId="0" xfId="3" applyNumberFormat="1" applyFont="1" applyFill="1" applyBorder="1"/>
    <xf numFmtId="3" fontId="18" fillId="0" borderId="0" xfId="3" applyNumberFormat="1" applyFont="1" applyFill="1" applyBorder="1"/>
    <xf numFmtId="0" fontId="14" fillId="0" borderId="1" xfId="0" applyFont="1" applyFill="1" applyBorder="1" applyAlignment="1">
      <alignment horizontal="center" vertical="top" wrapText="1"/>
    </xf>
    <xf numFmtId="4" fontId="0" fillId="0" borderId="1" xfId="0" applyNumberFormat="1" applyFill="1" applyBorder="1"/>
    <xf numFmtId="0" fontId="18" fillId="7" borderId="0" xfId="3" applyFont="1" applyFill="1" applyBorder="1"/>
    <xf numFmtId="168" fontId="14" fillId="0" borderId="12" xfId="0" applyNumberFormat="1" applyFont="1" applyFill="1" applyBorder="1" applyAlignment="1">
      <alignment horizontal="center" vertical="center" wrapText="1"/>
    </xf>
    <xf numFmtId="168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Fill="1" applyBorder="1"/>
    <xf numFmtId="2" fontId="0" fillId="0" borderId="0" xfId="0" applyNumberFormat="1"/>
    <xf numFmtId="43" fontId="14" fillId="0" borderId="12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8" fillId="0" borderId="0" xfId="3" applyFont="1" applyFill="1" applyBorder="1"/>
    <xf numFmtId="0" fontId="16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165" fontId="13" fillId="0" borderId="1" xfId="1" applyNumberFormat="1" applyFont="1" applyFill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0" fontId="16" fillId="5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left" wrapText="1"/>
    </xf>
    <xf numFmtId="165" fontId="5" fillId="0" borderId="12" xfId="0" applyNumberFormat="1" applyFont="1" applyBorder="1" applyAlignment="1">
      <alignment horizontal="left" wrapText="1"/>
    </xf>
    <xf numFmtId="0" fontId="5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/>
    </xf>
    <xf numFmtId="0" fontId="0" fillId="0" borderId="2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3" fontId="17" fillId="0" borderId="13" xfId="0" applyNumberFormat="1" applyFont="1" applyFill="1" applyBorder="1" applyAlignment="1">
      <alignment horizontal="center"/>
    </xf>
    <xf numFmtId="43" fontId="17" fillId="0" borderId="12" xfId="0" applyNumberFormat="1" applyFont="1" applyFill="1" applyBorder="1" applyAlignment="1">
      <alignment horizontal="center"/>
    </xf>
    <xf numFmtId="43" fontId="17" fillId="0" borderId="13" xfId="0" applyNumberFormat="1" applyFont="1" applyFill="1" applyBorder="1" applyAlignment="1">
      <alignment horizontal="left"/>
    </xf>
    <xf numFmtId="43" fontId="17" fillId="0" borderId="12" xfId="0" applyNumberFormat="1" applyFont="1" applyFill="1" applyBorder="1" applyAlignment="1">
      <alignment horizontal="left"/>
    </xf>
    <xf numFmtId="0" fontId="7" fillId="0" borderId="1" xfId="2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3" xfId="0" applyNumberFormat="1" applyBorder="1" applyAlignment="1">
      <alignment horizontal="left" wrapText="1"/>
    </xf>
    <xf numFmtId="165" fontId="0" fillId="0" borderId="12" xfId="0" applyNumberFormat="1" applyBorder="1" applyAlignment="1">
      <alignment horizontal="left" wrapText="1"/>
    </xf>
    <xf numFmtId="0" fontId="7" fillId="0" borderId="1" xfId="2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/>
    </xf>
    <xf numFmtId="0" fontId="0" fillId="0" borderId="20" xfId="0" applyFill="1" applyBorder="1" applyAlignment="1">
      <alignment horizontal="left" wrapText="1"/>
    </xf>
    <xf numFmtId="0" fontId="7" fillId="0" borderId="1" xfId="2" applyFill="1" applyBorder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43" fontId="0" fillId="0" borderId="1" xfId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2" applyAlignment="1">
      <alignment horizontal="center"/>
    </xf>
    <xf numFmtId="0" fontId="7" fillId="0" borderId="0" xfId="2" applyAlignment="1"/>
    <xf numFmtId="0" fontId="18" fillId="0" borderId="0" xfId="3" applyFont="1" applyFill="1" applyBorder="1" applyAlignment="1">
      <alignment horizontal="center"/>
    </xf>
    <xf numFmtId="0" fontId="18" fillId="0" borderId="0" xfId="3" applyFont="1" applyFill="1" applyBorder="1"/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showGridLines="0" tabSelected="1" topLeftCell="A247" zoomScaleNormal="100" workbookViewId="0">
      <selection activeCell="K43" sqref="K43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6.28515625" customWidth="1"/>
    <col min="11" max="11" width="12.42578125" customWidth="1"/>
    <col min="12" max="14" width="10.5703125" bestFit="1" customWidth="1"/>
    <col min="15" max="15" width="13.85546875" hidden="1" customWidth="1"/>
    <col min="16" max="16" width="10.5703125" hidden="1" customWidth="1"/>
    <col min="17" max="18" width="0" hidden="1" customWidth="1"/>
    <col min="19" max="19" width="10.42578125" hidden="1" customWidth="1"/>
  </cols>
  <sheetData>
    <row r="2" spans="2:9" ht="21" x14ac:dyDescent="0.35">
      <c r="B2" s="178" t="s">
        <v>681</v>
      </c>
      <c r="C2" s="178"/>
      <c r="D2" s="178"/>
      <c r="E2" s="178"/>
      <c r="F2" s="178"/>
      <c r="G2" s="178"/>
      <c r="H2" s="178"/>
      <c r="I2" s="178"/>
    </row>
    <row r="5" spans="2:9" x14ac:dyDescent="0.25">
      <c r="B5" s="218" t="s">
        <v>643</v>
      </c>
      <c r="C5" s="219"/>
      <c r="D5" s="117" t="s">
        <v>644</v>
      </c>
      <c r="E5" s="117" t="s">
        <v>641</v>
      </c>
      <c r="F5" s="117" t="s">
        <v>642</v>
      </c>
    </row>
    <row r="6" spans="2:9" x14ac:dyDescent="0.25">
      <c r="B6" s="220" t="s">
        <v>646</v>
      </c>
      <c r="C6" s="221"/>
      <c r="D6" s="118">
        <v>37589.96</v>
      </c>
      <c r="E6" s="118">
        <v>39717.69</v>
      </c>
      <c r="F6" s="118">
        <v>41845.49</v>
      </c>
    </row>
    <row r="7" spans="2:9" x14ac:dyDescent="0.25">
      <c r="B7" s="220" t="s">
        <v>645</v>
      </c>
      <c r="C7" s="221"/>
      <c r="D7" s="118">
        <v>35710.46</v>
      </c>
      <c r="E7" s="118">
        <v>37731.800000000003</v>
      </c>
      <c r="F7" s="118">
        <v>39753.21</v>
      </c>
    </row>
    <row r="8" spans="2:9" x14ac:dyDescent="0.25">
      <c r="B8" t="s">
        <v>670</v>
      </c>
    </row>
    <row r="10" spans="2:9" x14ac:dyDescent="0.25">
      <c r="B10" s="222" t="s">
        <v>672</v>
      </c>
      <c r="C10" s="215" t="s">
        <v>673</v>
      </c>
      <c r="D10" s="215"/>
      <c r="E10" s="215"/>
      <c r="F10" s="125" t="s">
        <v>674</v>
      </c>
    </row>
    <row r="11" spans="2:9" x14ac:dyDescent="0.25">
      <c r="B11" s="222"/>
      <c r="C11" s="215" t="s">
        <v>675</v>
      </c>
      <c r="D11" s="215"/>
      <c r="E11" s="215"/>
      <c r="F11" s="125" t="s">
        <v>676</v>
      </c>
    </row>
    <row r="12" spans="2:9" x14ac:dyDescent="0.25">
      <c r="B12" s="212" t="s">
        <v>671</v>
      </c>
      <c r="C12" s="213"/>
      <c r="D12" s="213"/>
      <c r="E12" s="126"/>
    </row>
    <row r="13" spans="2:9" x14ac:dyDescent="0.25">
      <c r="B13" s="126"/>
      <c r="C13" s="126"/>
      <c r="D13" s="127"/>
      <c r="E13" s="126"/>
    </row>
    <row r="14" spans="2:9" ht="28.5" customHeight="1" x14ac:dyDescent="0.25">
      <c r="B14" s="214" t="s">
        <v>677</v>
      </c>
      <c r="C14" s="215" t="s">
        <v>684</v>
      </c>
      <c r="D14" s="215"/>
      <c r="E14" s="215"/>
      <c r="F14" s="125" t="s">
        <v>674</v>
      </c>
    </row>
    <row r="15" spans="2:9" ht="47.25" customHeight="1" x14ac:dyDescent="0.25">
      <c r="B15" s="214"/>
      <c r="C15" s="214" t="s">
        <v>679</v>
      </c>
      <c r="D15" s="214"/>
      <c r="E15" s="214"/>
      <c r="F15" s="125" t="s">
        <v>676</v>
      </c>
    </row>
    <row r="16" spans="2:9" ht="31.5" customHeight="1" x14ac:dyDescent="0.25">
      <c r="B16" s="216" t="s">
        <v>683</v>
      </c>
      <c r="C16" s="213"/>
      <c r="D16" s="213"/>
      <c r="E16" s="126"/>
    </row>
    <row r="17" spans="2:9" x14ac:dyDescent="0.25">
      <c r="B17" s="126"/>
      <c r="C17" s="126"/>
      <c r="D17" s="127"/>
      <c r="E17" s="126"/>
    </row>
    <row r="18" spans="2:9" x14ac:dyDescent="0.25">
      <c r="B18" s="217" t="s">
        <v>627</v>
      </c>
      <c r="C18" s="217"/>
      <c r="D18" s="127"/>
      <c r="E18" s="126"/>
    </row>
    <row r="19" spans="2:9" ht="31.5" customHeight="1" x14ac:dyDescent="0.25">
      <c r="B19" s="210" t="s">
        <v>640</v>
      </c>
      <c r="C19" s="211"/>
      <c r="D19" s="127"/>
      <c r="E19" s="126"/>
    </row>
    <row r="20" spans="2:9" x14ac:dyDescent="0.25">
      <c r="B20" s="128" t="s">
        <v>682</v>
      </c>
      <c r="C20" s="126"/>
      <c r="D20" s="127"/>
      <c r="E20" s="126"/>
    </row>
    <row r="21" spans="2:9" x14ac:dyDescent="0.25">
      <c r="B21" s="126"/>
      <c r="C21" s="126"/>
      <c r="D21" s="126"/>
      <c r="E21" s="126"/>
    </row>
    <row r="24" spans="2:9" ht="21" x14ac:dyDescent="0.35">
      <c r="B24" s="178" t="s">
        <v>647</v>
      </c>
      <c r="C24" s="178"/>
      <c r="D24" s="178"/>
      <c r="E24" s="178"/>
      <c r="F24" s="178"/>
      <c r="G24" s="178"/>
      <c r="H24" s="178"/>
      <c r="I24" s="178"/>
    </row>
    <row r="27" spans="2:9" x14ac:dyDescent="0.25">
      <c r="B27" s="205" t="s">
        <v>2</v>
      </c>
      <c r="C27" s="205"/>
      <c r="D27" s="205"/>
      <c r="E27" s="205"/>
      <c r="F27" s="205"/>
      <c r="G27" s="205"/>
      <c r="H27" s="205"/>
      <c r="I27" s="205"/>
    </row>
    <row r="29" spans="2:9" x14ac:dyDescent="0.25">
      <c r="B29" s="204" t="s">
        <v>3</v>
      </c>
      <c r="C29" s="204"/>
      <c r="D29" s="204"/>
      <c r="E29" s="204"/>
      <c r="F29" s="204"/>
      <c r="G29" s="204"/>
      <c r="H29" s="204"/>
      <c r="I29" s="204"/>
    </row>
    <row r="30" spans="2:9" x14ac:dyDescent="0.25">
      <c r="B30" s="183" t="s">
        <v>4</v>
      </c>
      <c r="C30" s="183"/>
      <c r="D30" s="204" t="s">
        <v>5</v>
      </c>
      <c r="E30" s="204"/>
      <c r="F30" s="204"/>
      <c r="G30" s="183" t="s">
        <v>6</v>
      </c>
      <c r="H30" s="183"/>
      <c r="I30" s="2" t="s">
        <v>7</v>
      </c>
    </row>
    <row r="31" spans="2:9" ht="45" x14ac:dyDescent="0.25">
      <c r="B31" s="183"/>
      <c r="C31" s="183"/>
      <c r="D31" s="169" t="s">
        <v>8</v>
      </c>
      <c r="E31" s="170" t="s">
        <v>9</v>
      </c>
      <c r="F31" s="170" t="s">
        <v>10</v>
      </c>
      <c r="G31" s="170" t="s">
        <v>8</v>
      </c>
      <c r="H31" s="170" t="s">
        <v>9</v>
      </c>
      <c r="I31" s="170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15" x14ac:dyDescent="0.25">
      <c r="B33" s="181" t="s">
        <v>14</v>
      </c>
      <c r="C33" s="174" t="s">
        <v>15</v>
      </c>
      <c r="D33" s="3">
        <v>9577.36</v>
      </c>
      <c r="E33" s="161">
        <v>4874.6899999999996</v>
      </c>
      <c r="F33" s="161">
        <v>3104.43</v>
      </c>
      <c r="G33" s="3">
        <v>0</v>
      </c>
      <c r="H33" s="3">
        <v>0</v>
      </c>
      <c r="I33" s="3">
        <v>0</v>
      </c>
      <c r="J33" s="155"/>
      <c r="K33" s="155"/>
      <c r="L33" s="155"/>
      <c r="M33" s="155"/>
      <c r="N33" s="155"/>
      <c r="O33" s="155"/>
    </row>
    <row r="34" spans="2:15" x14ac:dyDescent="0.25">
      <c r="B34" s="181"/>
      <c r="C34" s="174" t="s">
        <v>16</v>
      </c>
      <c r="D34" s="3">
        <v>9864.68</v>
      </c>
      <c r="E34" s="161">
        <v>5020.93</v>
      </c>
      <c r="F34" s="161">
        <v>3197.56</v>
      </c>
      <c r="G34" s="3">
        <v>0</v>
      </c>
      <c r="H34" s="3">
        <v>0</v>
      </c>
      <c r="I34" s="3">
        <v>0</v>
      </c>
      <c r="J34" s="155"/>
      <c r="K34" s="155"/>
      <c r="L34" s="155"/>
      <c r="M34" s="155"/>
      <c r="N34" s="155"/>
      <c r="O34" s="155"/>
    </row>
    <row r="35" spans="2:15" x14ac:dyDescent="0.25">
      <c r="B35" s="181"/>
      <c r="C35" s="174" t="s">
        <v>17</v>
      </c>
      <c r="D35" s="3">
        <v>10160.629999999999</v>
      </c>
      <c r="E35" s="161">
        <v>5171.55</v>
      </c>
      <c r="F35" s="161">
        <v>3293.48</v>
      </c>
      <c r="G35" s="3">
        <v>0</v>
      </c>
      <c r="H35" s="3">
        <v>0</v>
      </c>
      <c r="I35" s="3">
        <v>0</v>
      </c>
      <c r="J35" s="155"/>
      <c r="K35" s="155"/>
      <c r="L35" s="155"/>
      <c r="M35" s="155"/>
      <c r="N35" s="155"/>
      <c r="O35" s="155"/>
    </row>
    <row r="36" spans="2:15" x14ac:dyDescent="0.25">
      <c r="B36" s="181"/>
      <c r="C36" s="174" t="s">
        <v>18</v>
      </c>
      <c r="D36" s="3">
        <v>10465.450000000001</v>
      </c>
      <c r="E36" s="161">
        <v>5326.72</v>
      </c>
      <c r="F36" s="161">
        <v>3392.28</v>
      </c>
      <c r="G36" s="3">
        <v>12035.24</v>
      </c>
      <c r="H36" s="3">
        <v>6125.71</v>
      </c>
      <c r="I36" s="3">
        <v>0</v>
      </c>
      <c r="J36" s="155"/>
      <c r="K36" s="155"/>
      <c r="L36" s="155"/>
      <c r="M36" s="155"/>
      <c r="N36" s="155"/>
      <c r="O36" s="155"/>
    </row>
    <row r="37" spans="2:15" x14ac:dyDescent="0.25">
      <c r="B37" s="181"/>
      <c r="C37" s="174" t="s">
        <v>19</v>
      </c>
      <c r="D37" s="3">
        <v>10779.41</v>
      </c>
      <c r="E37" s="161">
        <v>5486.51</v>
      </c>
      <c r="F37" s="161">
        <v>3494.05</v>
      </c>
      <c r="G37" s="3">
        <v>12396.32</v>
      </c>
      <c r="H37" s="3">
        <v>6309.49</v>
      </c>
      <c r="I37" s="3">
        <v>0</v>
      </c>
      <c r="J37" s="155"/>
      <c r="K37" s="155"/>
      <c r="L37" s="155"/>
      <c r="M37" s="155"/>
      <c r="N37" s="155"/>
      <c r="O37" s="155"/>
    </row>
    <row r="38" spans="2:15" x14ac:dyDescent="0.25">
      <c r="B38" s="181"/>
      <c r="C38" s="174" t="s">
        <v>20</v>
      </c>
      <c r="D38" s="3">
        <v>11102.78</v>
      </c>
      <c r="E38" s="161">
        <v>5651.11</v>
      </c>
      <c r="F38" s="161">
        <v>3598.87</v>
      </c>
      <c r="G38" s="3">
        <v>12768.21</v>
      </c>
      <c r="H38" s="3">
        <v>6498.77</v>
      </c>
      <c r="I38" s="3">
        <v>0</v>
      </c>
      <c r="J38" s="155"/>
      <c r="K38" s="155"/>
      <c r="L38" s="155"/>
      <c r="M38" s="155"/>
      <c r="N38" s="155"/>
      <c r="O38" s="155"/>
    </row>
    <row r="39" spans="2:15" x14ac:dyDescent="0.25">
      <c r="B39" s="179" t="s">
        <v>21</v>
      </c>
      <c r="C39" s="174" t="s">
        <v>15</v>
      </c>
      <c r="D39" s="3">
        <v>11657.93</v>
      </c>
      <c r="E39" s="161">
        <v>5933.66</v>
      </c>
      <c r="F39" s="161">
        <v>3778.81</v>
      </c>
      <c r="G39" s="3">
        <v>13406.62</v>
      </c>
      <c r="H39" s="3">
        <v>6823.71</v>
      </c>
      <c r="I39" s="3">
        <v>0</v>
      </c>
      <c r="J39" s="155"/>
      <c r="K39" s="155"/>
      <c r="L39" s="155"/>
      <c r="M39" s="155"/>
      <c r="N39" s="155"/>
      <c r="O39" s="155"/>
    </row>
    <row r="40" spans="2:15" x14ac:dyDescent="0.25">
      <c r="B40" s="179"/>
      <c r="C40" s="174" t="s">
        <v>16</v>
      </c>
      <c r="D40" s="3">
        <v>12007.68</v>
      </c>
      <c r="E40" s="161">
        <v>6111.66</v>
      </c>
      <c r="F40" s="161">
        <v>3892.18</v>
      </c>
      <c r="G40" s="3">
        <v>13808.82</v>
      </c>
      <c r="H40" s="3">
        <v>7028.43</v>
      </c>
      <c r="I40" s="3">
        <v>0</v>
      </c>
      <c r="J40" s="155"/>
      <c r="K40" s="155"/>
      <c r="L40" s="155"/>
      <c r="M40" s="155"/>
      <c r="N40" s="155"/>
      <c r="O40" s="155"/>
    </row>
    <row r="41" spans="2:15" x14ac:dyDescent="0.25">
      <c r="B41" s="179"/>
      <c r="C41" s="174" t="s">
        <v>17</v>
      </c>
      <c r="D41" s="3">
        <v>12367.91</v>
      </c>
      <c r="E41" s="161">
        <v>6295.02</v>
      </c>
      <c r="F41" s="161">
        <v>4008.92</v>
      </c>
      <c r="G41" s="3">
        <v>14223.1</v>
      </c>
      <c r="H41" s="3">
        <v>7239.28</v>
      </c>
      <c r="I41" s="3">
        <v>0</v>
      </c>
      <c r="J41" s="155"/>
      <c r="K41" s="155"/>
      <c r="L41" s="155"/>
      <c r="M41" s="155"/>
      <c r="N41" s="155"/>
      <c r="O41" s="155"/>
    </row>
    <row r="42" spans="2:15" x14ac:dyDescent="0.25">
      <c r="B42" s="179"/>
      <c r="C42" s="174" t="s">
        <v>18</v>
      </c>
      <c r="D42" s="3">
        <v>12738.95</v>
      </c>
      <c r="E42" s="161">
        <v>6483.87</v>
      </c>
      <c r="F42" s="161">
        <v>4129.1899999999996</v>
      </c>
      <c r="G42" s="3">
        <v>14649.79</v>
      </c>
      <c r="H42" s="3">
        <v>7456.46</v>
      </c>
      <c r="I42" s="3">
        <v>16847.25</v>
      </c>
      <c r="J42" s="155"/>
      <c r="K42" s="155"/>
      <c r="L42" s="155"/>
      <c r="M42" s="155"/>
      <c r="N42" s="155"/>
      <c r="O42" s="155"/>
    </row>
    <row r="43" spans="2:15" x14ac:dyDescent="0.25">
      <c r="B43" s="179"/>
      <c r="C43" s="174" t="s">
        <v>19</v>
      </c>
      <c r="D43" s="3">
        <v>13121.12</v>
      </c>
      <c r="E43" s="161">
        <v>6678.38</v>
      </c>
      <c r="F43" s="161">
        <v>4253.07</v>
      </c>
      <c r="G43" s="3">
        <v>15089.29</v>
      </c>
      <c r="H43" s="3">
        <v>7680.15</v>
      </c>
      <c r="I43" s="3">
        <v>17352.669999999998</v>
      </c>
      <c r="J43" s="155"/>
      <c r="K43" s="155"/>
      <c r="L43" s="155"/>
      <c r="M43" s="155"/>
      <c r="N43" s="155"/>
      <c r="O43" s="155"/>
    </row>
    <row r="44" spans="2:15" x14ac:dyDescent="0.25">
      <c r="B44" s="179"/>
      <c r="C44" s="174" t="s">
        <v>20</v>
      </c>
      <c r="D44" s="3">
        <v>13514.74</v>
      </c>
      <c r="E44" s="161">
        <v>6878.73</v>
      </c>
      <c r="F44" s="161">
        <v>4380.66</v>
      </c>
      <c r="G44" s="3">
        <v>15541.96</v>
      </c>
      <c r="H44" s="3">
        <v>7910.56</v>
      </c>
      <c r="I44" s="3">
        <v>17873.259999999998</v>
      </c>
      <c r="J44" s="155"/>
      <c r="K44" s="155"/>
      <c r="L44" s="155"/>
      <c r="M44" s="155"/>
      <c r="N44" s="155"/>
      <c r="O44" s="155"/>
    </row>
    <row r="45" spans="2:15" x14ac:dyDescent="0.25">
      <c r="B45" s="179" t="s">
        <v>22</v>
      </c>
      <c r="C45" s="174" t="s">
        <v>15</v>
      </c>
      <c r="D45" s="3">
        <v>14190.49</v>
      </c>
      <c r="E45" s="161">
        <v>7222.66</v>
      </c>
      <c r="F45" s="161">
        <v>4599.71</v>
      </c>
      <c r="G45" s="3">
        <v>16319.07</v>
      </c>
      <c r="H45" s="3">
        <v>8306.08</v>
      </c>
      <c r="I45" s="3">
        <v>18766.91</v>
      </c>
      <c r="J45" s="155"/>
      <c r="K45" s="155"/>
      <c r="L45" s="155"/>
      <c r="M45" s="155"/>
      <c r="N45" s="155"/>
      <c r="O45" s="155"/>
    </row>
    <row r="46" spans="2:15" x14ac:dyDescent="0.25">
      <c r="B46" s="179"/>
      <c r="C46" s="174" t="s">
        <v>16</v>
      </c>
      <c r="D46" s="3">
        <v>14616.2</v>
      </c>
      <c r="E46" s="161">
        <v>7439.36</v>
      </c>
      <c r="F46" s="161">
        <v>4737.6899999999996</v>
      </c>
      <c r="G46" s="3">
        <v>16808.64</v>
      </c>
      <c r="H46" s="3">
        <v>8555.2900000000009</v>
      </c>
      <c r="I46" s="3">
        <v>19329.919999999998</v>
      </c>
      <c r="J46" s="155"/>
      <c r="K46" s="155"/>
      <c r="L46" s="155"/>
      <c r="M46" s="155"/>
      <c r="N46" s="155"/>
      <c r="O46" s="155"/>
    </row>
    <row r="47" spans="2:15" x14ac:dyDescent="0.25">
      <c r="B47" s="179"/>
      <c r="C47" s="174" t="s">
        <v>17</v>
      </c>
      <c r="D47" s="3">
        <v>15054.68</v>
      </c>
      <c r="E47" s="161">
        <v>7662.54</v>
      </c>
      <c r="F47" s="161">
        <v>4879.82</v>
      </c>
      <c r="G47" s="3">
        <v>17312.91</v>
      </c>
      <c r="H47" s="3">
        <v>8811.93</v>
      </c>
      <c r="I47" s="3">
        <v>19909.830000000002</v>
      </c>
      <c r="J47" s="155"/>
      <c r="K47" s="155"/>
      <c r="L47" s="155"/>
      <c r="M47" s="155"/>
      <c r="N47" s="155"/>
      <c r="O47" s="155"/>
    </row>
    <row r="48" spans="2:15" x14ac:dyDescent="0.25">
      <c r="B48" s="179"/>
      <c r="C48" s="174" t="s">
        <v>18</v>
      </c>
      <c r="D48" s="3">
        <v>15506.33</v>
      </c>
      <c r="E48" s="161">
        <v>7892.41</v>
      </c>
      <c r="F48" s="161">
        <v>5026.21</v>
      </c>
      <c r="G48" s="3">
        <v>17832.29</v>
      </c>
      <c r="H48" s="3">
        <v>9076.2999999999993</v>
      </c>
      <c r="I48" s="3">
        <v>20507.13</v>
      </c>
      <c r="J48" s="155"/>
      <c r="K48" s="155"/>
      <c r="L48" s="155"/>
      <c r="M48" s="155"/>
      <c r="N48" s="155"/>
      <c r="O48" s="155"/>
    </row>
    <row r="49" spans="2:15" x14ac:dyDescent="0.25">
      <c r="B49" s="179"/>
      <c r="C49" s="174" t="s">
        <v>19</v>
      </c>
      <c r="D49" s="3">
        <v>15971.52</v>
      </c>
      <c r="E49" s="161">
        <v>8129.17</v>
      </c>
      <c r="F49" s="161">
        <v>5177.01</v>
      </c>
      <c r="G49" s="3">
        <v>18367.240000000002</v>
      </c>
      <c r="H49" s="3">
        <v>9348.59</v>
      </c>
      <c r="I49" s="3">
        <v>21122.33</v>
      </c>
      <c r="J49" s="155"/>
      <c r="K49" s="155"/>
      <c r="L49" s="155"/>
      <c r="M49" s="155"/>
      <c r="N49" s="155"/>
      <c r="O49" s="155"/>
    </row>
    <row r="50" spans="2:15" x14ac:dyDescent="0.25">
      <c r="B50" s="179"/>
      <c r="C50" s="174" t="s">
        <v>20</v>
      </c>
      <c r="D50" s="3">
        <v>16450.669999999998</v>
      </c>
      <c r="E50" s="161">
        <v>8373.06</v>
      </c>
      <c r="F50" s="161">
        <v>5332.33</v>
      </c>
      <c r="G50" s="3">
        <v>18918.259999999998</v>
      </c>
      <c r="H50" s="3">
        <v>9629.0499999999993</v>
      </c>
      <c r="I50" s="3">
        <v>21755.99</v>
      </c>
      <c r="J50" s="155"/>
      <c r="K50" s="155"/>
      <c r="L50" s="155"/>
      <c r="M50" s="155"/>
      <c r="N50" s="155"/>
      <c r="O50" s="155"/>
    </row>
    <row r="52" spans="2:15" x14ac:dyDescent="0.25">
      <c r="B52" s="205" t="s">
        <v>23</v>
      </c>
      <c r="C52" s="205"/>
      <c r="D52" s="205"/>
      <c r="E52" s="205"/>
      <c r="F52" s="205"/>
      <c r="G52" s="205"/>
      <c r="H52" s="205"/>
      <c r="I52" s="205"/>
    </row>
    <row r="54" spans="2:15" x14ac:dyDescent="0.25">
      <c r="B54" s="204" t="s">
        <v>3</v>
      </c>
      <c r="C54" s="204"/>
      <c r="D54" s="204"/>
      <c r="E54" s="204"/>
      <c r="F54" s="204"/>
      <c r="G54" s="204"/>
      <c r="H54" s="204"/>
      <c r="I54" s="204"/>
    </row>
    <row r="55" spans="2:15" x14ac:dyDescent="0.25">
      <c r="B55" s="183" t="s">
        <v>4</v>
      </c>
      <c r="C55" s="183"/>
      <c r="D55" s="2" t="s">
        <v>5</v>
      </c>
      <c r="E55" s="2"/>
      <c r="F55" s="183" t="s">
        <v>6</v>
      </c>
      <c r="G55" s="183"/>
      <c r="H55" s="204" t="s">
        <v>7</v>
      </c>
      <c r="I55" s="204"/>
    </row>
    <row r="56" spans="2:15" ht="60" x14ac:dyDescent="0.25">
      <c r="B56" s="183"/>
      <c r="C56" s="183"/>
      <c r="D56" s="169" t="s">
        <v>24</v>
      </c>
      <c r="E56" s="170" t="s">
        <v>25</v>
      </c>
      <c r="F56" s="169" t="s">
        <v>24</v>
      </c>
      <c r="G56" s="170" t="s">
        <v>25</v>
      </c>
      <c r="H56" s="169" t="s">
        <v>24</v>
      </c>
      <c r="I56" s="170" t="s">
        <v>25</v>
      </c>
    </row>
    <row r="57" spans="2:15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  <c r="J57" s="165"/>
      <c r="K57" s="165"/>
    </row>
    <row r="58" spans="2:15" x14ac:dyDescent="0.25">
      <c r="B58" s="181" t="s">
        <v>14</v>
      </c>
      <c r="C58" s="174" t="s">
        <v>15</v>
      </c>
      <c r="D58" s="161">
        <v>9577.36</v>
      </c>
      <c r="E58" s="161">
        <v>9577.36</v>
      </c>
      <c r="F58" s="161">
        <v>0</v>
      </c>
      <c r="G58" s="161">
        <v>0</v>
      </c>
      <c r="H58" s="161">
        <v>0</v>
      </c>
      <c r="I58" s="161">
        <v>0</v>
      </c>
      <c r="J58" s="166"/>
      <c r="K58" s="166"/>
      <c r="L58" s="166"/>
      <c r="M58" s="166"/>
      <c r="N58" s="166"/>
      <c r="O58" s="166"/>
    </row>
    <row r="59" spans="2:15" x14ac:dyDescent="0.25">
      <c r="B59" s="181"/>
      <c r="C59" s="174" t="s">
        <v>16</v>
      </c>
      <c r="D59" s="161">
        <v>9864.68</v>
      </c>
      <c r="E59" s="161">
        <v>9864.68</v>
      </c>
      <c r="F59" s="161">
        <v>0</v>
      </c>
      <c r="G59" s="161">
        <v>0</v>
      </c>
      <c r="H59" s="161">
        <v>0</v>
      </c>
      <c r="I59" s="161">
        <v>0</v>
      </c>
      <c r="J59" s="166"/>
      <c r="K59" s="166"/>
      <c r="L59" s="166"/>
      <c r="M59" s="166"/>
      <c r="N59" s="166"/>
      <c r="O59" s="166"/>
    </row>
    <row r="60" spans="2:15" x14ac:dyDescent="0.25">
      <c r="B60" s="181"/>
      <c r="C60" s="174" t="s">
        <v>17</v>
      </c>
      <c r="D60" s="161">
        <v>10160.629999999999</v>
      </c>
      <c r="E60" s="161">
        <v>10160.629999999999</v>
      </c>
      <c r="F60" s="161">
        <v>0</v>
      </c>
      <c r="G60" s="161">
        <v>0</v>
      </c>
      <c r="H60" s="161">
        <v>0</v>
      </c>
      <c r="I60" s="161">
        <v>0</v>
      </c>
      <c r="J60" s="166"/>
      <c r="K60" s="166"/>
      <c r="L60" s="166"/>
      <c r="M60" s="166"/>
      <c r="N60" s="166"/>
      <c r="O60" s="166"/>
    </row>
    <row r="61" spans="2:15" x14ac:dyDescent="0.25">
      <c r="B61" s="181"/>
      <c r="C61" s="174" t="s">
        <v>18</v>
      </c>
      <c r="D61" s="161">
        <v>10465.450000000001</v>
      </c>
      <c r="E61" s="161">
        <v>10465.450000000001</v>
      </c>
      <c r="F61" s="161">
        <v>12035.24</v>
      </c>
      <c r="G61" s="161">
        <v>12035.24</v>
      </c>
      <c r="H61" s="161">
        <v>0</v>
      </c>
      <c r="I61" s="161">
        <v>0</v>
      </c>
      <c r="J61" s="166"/>
      <c r="K61" s="166"/>
      <c r="L61" s="166"/>
      <c r="M61" s="166"/>
      <c r="N61" s="166"/>
      <c r="O61" s="166"/>
    </row>
    <row r="62" spans="2:15" x14ac:dyDescent="0.25">
      <c r="B62" s="181"/>
      <c r="C62" s="174" t="s">
        <v>19</v>
      </c>
      <c r="D62" s="161">
        <v>10779.41</v>
      </c>
      <c r="E62" s="161">
        <v>10779.41</v>
      </c>
      <c r="F62" s="161">
        <v>12396.32</v>
      </c>
      <c r="G62" s="161">
        <v>12396.32</v>
      </c>
      <c r="H62" s="161">
        <v>0</v>
      </c>
      <c r="I62" s="161">
        <v>0</v>
      </c>
      <c r="J62" s="166"/>
      <c r="K62" s="166"/>
      <c r="L62" s="166"/>
      <c r="M62" s="166"/>
      <c r="N62" s="166"/>
      <c r="O62" s="166"/>
    </row>
    <row r="63" spans="2:15" x14ac:dyDescent="0.25">
      <c r="B63" s="181"/>
      <c r="C63" s="174" t="s">
        <v>20</v>
      </c>
      <c r="D63" s="161">
        <v>11102.78</v>
      </c>
      <c r="E63" s="161">
        <v>11102.78</v>
      </c>
      <c r="F63" s="161">
        <v>12768.21</v>
      </c>
      <c r="G63" s="161">
        <v>12768.21</v>
      </c>
      <c r="H63" s="161">
        <v>0</v>
      </c>
      <c r="I63" s="161">
        <v>0</v>
      </c>
      <c r="J63" s="166"/>
      <c r="K63" s="166"/>
      <c r="L63" s="166"/>
      <c r="M63" s="166"/>
      <c r="N63" s="166"/>
      <c r="O63" s="166"/>
    </row>
    <row r="64" spans="2:15" x14ac:dyDescent="0.25">
      <c r="B64" s="179" t="s">
        <v>21</v>
      </c>
      <c r="C64" s="174" t="s">
        <v>15</v>
      </c>
      <c r="D64" s="161">
        <v>11657.93</v>
      </c>
      <c r="E64" s="161">
        <v>11657.93</v>
      </c>
      <c r="F64" s="161">
        <v>13406.62</v>
      </c>
      <c r="G64" s="161">
        <v>13406.62</v>
      </c>
      <c r="H64" s="161">
        <v>0</v>
      </c>
      <c r="I64" s="161">
        <v>0</v>
      </c>
      <c r="J64" s="166"/>
      <c r="K64" s="166"/>
      <c r="L64" s="166"/>
      <c r="M64" s="166"/>
      <c r="N64" s="166"/>
      <c r="O64" s="166"/>
    </row>
    <row r="65" spans="2:15" x14ac:dyDescent="0.25">
      <c r="B65" s="179"/>
      <c r="C65" s="174" t="s">
        <v>16</v>
      </c>
      <c r="D65" s="161">
        <v>12007.68</v>
      </c>
      <c r="E65" s="161">
        <v>12007.68</v>
      </c>
      <c r="F65" s="161">
        <v>13808.82</v>
      </c>
      <c r="G65" s="161">
        <v>13808.82</v>
      </c>
      <c r="H65" s="161">
        <v>0</v>
      </c>
      <c r="I65" s="161">
        <v>0</v>
      </c>
      <c r="J65" s="166"/>
      <c r="K65" s="166"/>
      <c r="L65" s="166"/>
      <c r="M65" s="166"/>
      <c r="N65" s="166"/>
      <c r="O65" s="166"/>
    </row>
    <row r="66" spans="2:15" x14ac:dyDescent="0.25">
      <c r="B66" s="179"/>
      <c r="C66" s="160" t="s">
        <v>17</v>
      </c>
      <c r="D66" s="161">
        <v>12367.91</v>
      </c>
      <c r="E66" s="161">
        <v>12367.91</v>
      </c>
      <c r="F66" s="161">
        <v>14223.1</v>
      </c>
      <c r="G66" s="161">
        <v>14223.1</v>
      </c>
      <c r="H66" s="161">
        <v>0</v>
      </c>
      <c r="I66" s="161">
        <v>0</v>
      </c>
      <c r="J66" s="166"/>
      <c r="K66" s="166"/>
      <c r="L66" s="166"/>
      <c r="M66" s="166"/>
      <c r="N66" s="166"/>
      <c r="O66" s="166"/>
    </row>
    <row r="67" spans="2:15" x14ac:dyDescent="0.25">
      <c r="B67" s="179"/>
      <c r="C67" s="174" t="s">
        <v>18</v>
      </c>
      <c r="D67" s="161">
        <v>12738.95</v>
      </c>
      <c r="E67" s="161">
        <v>12738.95</v>
      </c>
      <c r="F67" s="161">
        <v>14649.79</v>
      </c>
      <c r="G67" s="161">
        <v>14649.79</v>
      </c>
      <c r="H67" s="161">
        <v>16847.25</v>
      </c>
      <c r="I67" s="161">
        <v>16847.25</v>
      </c>
      <c r="J67" s="166"/>
      <c r="K67" s="166"/>
      <c r="L67" s="166"/>
      <c r="M67" s="166"/>
      <c r="N67" s="166"/>
      <c r="O67" s="166"/>
    </row>
    <row r="68" spans="2:15" x14ac:dyDescent="0.25">
      <c r="B68" s="179"/>
      <c r="C68" s="174" t="s">
        <v>19</v>
      </c>
      <c r="D68" s="161">
        <v>13121.12</v>
      </c>
      <c r="E68" s="161">
        <v>13121.12</v>
      </c>
      <c r="F68" s="161">
        <v>15089.29</v>
      </c>
      <c r="G68" s="161">
        <v>15089.29</v>
      </c>
      <c r="H68" s="161">
        <v>17352.669999999998</v>
      </c>
      <c r="I68" s="161">
        <v>17352.669999999998</v>
      </c>
      <c r="J68" s="166"/>
      <c r="K68" s="166"/>
      <c r="L68" s="166"/>
      <c r="M68" s="166"/>
      <c r="N68" s="166"/>
      <c r="O68" s="166"/>
    </row>
    <row r="69" spans="2:15" x14ac:dyDescent="0.25">
      <c r="B69" s="179"/>
      <c r="C69" s="174" t="s">
        <v>20</v>
      </c>
      <c r="D69" s="161">
        <v>13514.74</v>
      </c>
      <c r="E69" s="161">
        <v>13514.74</v>
      </c>
      <c r="F69" s="161">
        <v>15541.96</v>
      </c>
      <c r="G69" s="161">
        <v>15541.96</v>
      </c>
      <c r="H69" s="161">
        <v>17873.259999999998</v>
      </c>
      <c r="I69" s="161">
        <v>17873.259999999998</v>
      </c>
      <c r="J69" s="166"/>
      <c r="K69" s="166"/>
      <c r="L69" s="166"/>
      <c r="M69" s="166"/>
      <c r="N69" s="166"/>
      <c r="O69" s="166"/>
    </row>
    <row r="70" spans="2:15" x14ac:dyDescent="0.25">
      <c r="B70" s="179" t="s">
        <v>22</v>
      </c>
      <c r="C70" s="174" t="s">
        <v>15</v>
      </c>
      <c r="D70" s="161">
        <v>14190.49</v>
      </c>
      <c r="E70" s="161">
        <v>14190.49</v>
      </c>
      <c r="F70" s="161">
        <v>16319.07</v>
      </c>
      <c r="G70" s="161">
        <v>16319.07</v>
      </c>
      <c r="H70" s="161">
        <v>18766.91</v>
      </c>
      <c r="I70" s="161">
        <v>18766.91</v>
      </c>
      <c r="J70" s="166"/>
      <c r="K70" s="166"/>
      <c r="L70" s="166"/>
      <c r="M70" s="166"/>
      <c r="N70" s="166"/>
      <c r="O70" s="166"/>
    </row>
    <row r="71" spans="2:15" x14ac:dyDescent="0.25">
      <c r="B71" s="179"/>
      <c r="C71" s="174" t="s">
        <v>16</v>
      </c>
      <c r="D71" s="161">
        <v>14616.2</v>
      </c>
      <c r="E71" s="161">
        <v>14616.2</v>
      </c>
      <c r="F71" s="161">
        <v>16808.64</v>
      </c>
      <c r="G71" s="161">
        <v>16808.64</v>
      </c>
      <c r="H71" s="161">
        <v>19329.919999999998</v>
      </c>
      <c r="I71" s="161">
        <v>19329.919999999998</v>
      </c>
      <c r="J71" s="166"/>
      <c r="K71" s="166"/>
      <c r="L71" s="166"/>
      <c r="M71" s="166"/>
      <c r="N71" s="166"/>
      <c r="O71" s="166"/>
    </row>
    <row r="72" spans="2:15" x14ac:dyDescent="0.25">
      <c r="B72" s="179"/>
      <c r="C72" s="174" t="s">
        <v>17</v>
      </c>
      <c r="D72" s="161">
        <v>15054.68</v>
      </c>
      <c r="E72" s="161">
        <v>15054.68</v>
      </c>
      <c r="F72" s="161">
        <v>17312.91</v>
      </c>
      <c r="G72" s="161">
        <v>17312.91</v>
      </c>
      <c r="H72" s="161">
        <v>19909.830000000002</v>
      </c>
      <c r="I72" s="161">
        <v>19909.830000000002</v>
      </c>
      <c r="J72" s="166"/>
      <c r="K72" s="166"/>
      <c r="L72" s="166"/>
      <c r="M72" s="166"/>
      <c r="N72" s="166"/>
      <c r="O72" s="166"/>
    </row>
    <row r="73" spans="2:15" x14ac:dyDescent="0.25">
      <c r="B73" s="179"/>
      <c r="C73" s="174" t="s">
        <v>18</v>
      </c>
      <c r="D73" s="161">
        <v>15506.33</v>
      </c>
      <c r="E73" s="161">
        <v>15506.33</v>
      </c>
      <c r="F73" s="161">
        <v>17832.29</v>
      </c>
      <c r="G73" s="161">
        <v>17832.29</v>
      </c>
      <c r="H73" s="161">
        <v>20507.13</v>
      </c>
      <c r="I73" s="161">
        <v>20507.13</v>
      </c>
      <c r="J73" s="166"/>
      <c r="K73" s="166"/>
      <c r="L73" s="166"/>
      <c r="M73" s="166"/>
      <c r="N73" s="166"/>
      <c r="O73" s="166"/>
    </row>
    <row r="74" spans="2:15" x14ac:dyDescent="0.25">
      <c r="B74" s="179"/>
      <c r="C74" s="174" t="s">
        <v>19</v>
      </c>
      <c r="D74" s="161">
        <v>15971.52</v>
      </c>
      <c r="E74" s="161">
        <v>15971.52</v>
      </c>
      <c r="F74" s="161">
        <v>18367.240000000002</v>
      </c>
      <c r="G74" s="161">
        <v>18367.240000000002</v>
      </c>
      <c r="H74" s="161">
        <v>21122.33</v>
      </c>
      <c r="I74" s="161">
        <v>21122.33</v>
      </c>
      <c r="J74" s="166"/>
      <c r="K74" s="166"/>
      <c r="L74" s="166"/>
      <c r="M74" s="166"/>
      <c r="N74" s="166"/>
      <c r="O74" s="166"/>
    </row>
    <row r="75" spans="2:15" x14ac:dyDescent="0.25">
      <c r="B75" s="179"/>
      <c r="C75" s="174" t="s">
        <v>20</v>
      </c>
      <c r="D75" s="161">
        <v>16450.669999999998</v>
      </c>
      <c r="E75" s="161">
        <v>16450.669999999998</v>
      </c>
      <c r="F75" s="161">
        <v>18918.259999999998</v>
      </c>
      <c r="G75" s="161">
        <v>18918.259999999998</v>
      </c>
      <c r="H75" s="161">
        <v>21755.99</v>
      </c>
      <c r="I75" s="161">
        <v>21755.99</v>
      </c>
      <c r="J75" s="166"/>
      <c r="K75" s="166"/>
      <c r="L75" s="166"/>
      <c r="M75" s="166"/>
      <c r="N75" s="166"/>
      <c r="O75" s="166"/>
    </row>
    <row r="77" spans="2:15" x14ac:dyDescent="0.25">
      <c r="B77" s="205" t="s">
        <v>26</v>
      </c>
      <c r="C77" s="205"/>
      <c r="D77" s="205"/>
      <c r="E77" s="205"/>
      <c r="F77" s="205"/>
      <c r="G77" s="205"/>
      <c r="H77" s="205"/>
      <c r="I77" s="205"/>
    </row>
    <row r="79" spans="2:15" x14ac:dyDescent="0.25">
      <c r="B79" s="204" t="s">
        <v>3</v>
      </c>
      <c r="C79" s="204"/>
      <c r="D79" s="204"/>
      <c r="E79" s="204"/>
      <c r="F79" s="204"/>
      <c r="G79" s="204"/>
    </row>
    <row r="80" spans="2:15" ht="45" customHeight="1" x14ac:dyDescent="0.25">
      <c r="B80" s="206" t="s">
        <v>4</v>
      </c>
      <c r="C80" s="207"/>
      <c r="D80" s="2" t="s">
        <v>5</v>
      </c>
      <c r="E80" s="2"/>
      <c r="F80" s="183" t="s">
        <v>6</v>
      </c>
      <c r="G80" s="183"/>
    </row>
    <row r="81" spans="2:7" ht="30" x14ac:dyDescent="0.25">
      <c r="B81" s="208"/>
      <c r="C81" s="209"/>
      <c r="D81" s="169" t="s">
        <v>27</v>
      </c>
      <c r="E81" s="170" t="s">
        <v>28</v>
      </c>
      <c r="F81" s="169" t="s">
        <v>27</v>
      </c>
      <c r="G81" s="170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1" t="s">
        <v>14</v>
      </c>
      <c r="C83" s="176" t="s">
        <v>15</v>
      </c>
      <c r="D83" s="161">
        <v>5378.35</v>
      </c>
      <c r="E83" s="161">
        <v>4874.6899999999996</v>
      </c>
      <c r="F83" s="161">
        <v>0</v>
      </c>
      <c r="G83" s="3">
        <v>0</v>
      </c>
    </row>
    <row r="84" spans="2:7" x14ac:dyDescent="0.25">
      <c r="B84" s="181"/>
      <c r="C84" s="63" t="s">
        <v>16</v>
      </c>
      <c r="D84" s="161">
        <v>5539.69</v>
      </c>
      <c r="E84" s="161">
        <v>5020.93</v>
      </c>
      <c r="F84" s="161">
        <v>0</v>
      </c>
      <c r="G84" s="3">
        <v>0</v>
      </c>
    </row>
    <row r="85" spans="2:7" x14ac:dyDescent="0.25">
      <c r="B85" s="181"/>
      <c r="C85" s="63" t="s">
        <v>17</v>
      </c>
      <c r="D85" s="161">
        <v>5705.88</v>
      </c>
      <c r="E85" s="161">
        <v>5171.55</v>
      </c>
      <c r="F85" s="161">
        <v>0</v>
      </c>
      <c r="G85" s="3">
        <v>0</v>
      </c>
    </row>
    <row r="86" spans="2:7" x14ac:dyDescent="0.25">
      <c r="B86" s="181"/>
      <c r="C86" s="63" t="s">
        <v>18</v>
      </c>
      <c r="D86" s="161">
        <v>5877.05</v>
      </c>
      <c r="E86" s="161">
        <v>5326.72</v>
      </c>
      <c r="F86" s="161">
        <v>6758.61</v>
      </c>
      <c r="G86" s="3">
        <v>6125.71</v>
      </c>
    </row>
    <row r="87" spans="2:7" x14ac:dyDescent="0.25">
      <c r="B87" s="181"/>
      <c r="C87" s="63" t="s">
        <v>19</v>
      </c>
      <c r="D87" s="161">
        <v>6053.36</v>
      </c>
      <c r="E87" s="161">
        <v>5486.51</v>
      </c>
      <c r="F87" s="161">
        <v>6961.36</v>
      </c>
      <c r="G87" s="3">
        <v>6309.49</v>
      </c>
    </row>
    <row r="88" spans="2:7" x14ac:dyDescent="0.25">
      <c r="B88" s="181"/>
      <c r="C88" s="63" t="s">
        <v>20</v>
      </c>
      <c r="D88" s="161">
        <v>6234.97</v>
      </c>
      <c r="E88" s="161">
        <v>5651.11</v>
      </c>
      <c r="F88" s="161">
        <v>7170.21</v>
      </c>
      <c r="G88" s="3">
        <v>6498.77</v>
      </c>
    </row>
    <row r="89" spans="2:7" x14ac:dyDescent="0.25">
      <c r="B89" s="179" t="s">
        <v>21</v>
      </c>
      <c r="C89" s="63" t="s">
        <v>15</v>
      </c>
      <c r="D89" s="161">
        <v>6546.7</v>
      </c>
      <c r="E89" s="161">
        <v>5933.66</v>
      </c>
      <c r="F89" s="161">
        <v>7528.72</v>
      </c>
      <c r="G89" s="3">
        <v>6823.71</v>
      </c>
    </row>
    <row r="90" spans="2:7" x14ac:dyDescent="0.25">
      <c r="B90" s="179"/>
      <c r="C90" s="63" t="s">
        <v>16</v>
      </c>
      <c r="D90" s="161">
        <v>6743.11</v>
      </c>
      <c r="E90" s="161">
        <v>6111.66</v>
      </c>
      <c r="F90" s="161">
        <v>7754.58</v>
      </c>
      <c r="G90" s="3">
        <v>7028.43</v>
      </c>
    </row>
    <row r="91" spans="2:7" x14ac:dyDescent="0.25">
      <c r="B91" s="179"/>
      <c r="C91" s="63" t="s">
        <v>17</v>
      </c>
      <c r="D91" s="161">
        <v>6945.41</v>
      </c>
      <c r="E91" s="161">
        <v>6295.02</v>
      </c>
      <c r="F91" s="161">
        <v>7987.23</v>
      </c>
      <c r="G91" s="3">
        <v>7239.28</v>
      </c>
    </row>
    <row r="92" spans="2:7" x14ac:dyDescent="0.25">
      <c r="B92" s="179"/>
      <c r="C92" s="2" t="s">
        <v>18</v>
      </c>
      <c r="D92" s="161">
        <v>7153.78</v>
      </c>
      <c r="E92" s="161">
        <v>6483.87</v>
      </c>
      <c r="F92" s="161">
        <v>8226.83</v>
      </c>
      <c r="G92" s="3">
        <v>7456.46</v>
      </c>
    </row>
    <row r="93" spans="2:7" x14ac:dyDescent="0.25">
      <c r="B93" s="179"/>
      <c r="C93" s="2" t="s">
        <v>19</v>
      </c>
      <c r="D93" s="161">
        <v>7368.39</v>
      </c>
      <c r="E93" s="161">
        <v>6678.38</v>
      </c>
      <c r="F93" s="161">
        <v>8473.65</v>
      </c>
      <c r="G93" s="3">
        <v>7680.15</v>
      </c>
    </row>
    <row r="94" spans="2:7" x14ac:dyDescent="0.25">
      <c r="B94" s="179"/>
      <c r="C94" s="2" t="s">
        <v>20</v>
      </c>
      <c r="D94" s="161">
        <v>7589.43</v>
      </c>
      <c r="E94" s="161">
        <v>6878.73</v>
      </c>
      <c r="F94" s="161">
        <v>8727.85</v>
      </c>
      <c r="G94" s="3">
        <v>7910.56</v>
      </c>
    </row>
    <row r="95" spans="2:7" x14ac:dyDescent="0.25">
      <c r="B95" s="179" t="s">
        <v>22</v>
      </c>
      <c r="C95" s="2" t="s">
        <v>15</v>
      </c>
      <c r="D95" s="161">
        <v>7968.9</v>
      </c>
      <c r="E95" s="161">
        <v>7222.66</v>
      </c>
      <c r="F95" s="161">
        <v>9164.24</v>
      </c>
      <c r="G95" s="3">
        <v>8306.08</v>
      </c>
    </row>
    <row r="96" spans="2:7" x14ac:dyDescent="0.25">
      <c r="B96" s="179"/>
      <c r="C96" s="2" t="s">
        <v>16</v>
      </c>
      <c r="D96" s="161">
        <v>8207.9699999999993</v>
      </c>
      <c r="E96" s="161">
        <v>7439.36</v>
      </c>
      <c r="F96" s="161">
        <v>9439.18</v>
      </c>
      <c r="G96" s="3">
        <v>8555.2900000000009</v>
      </c>
    </row>
    <row r="97" spans="2:7" x14ac:dyDescent="0.25">
      <c r="B97" s="179"/>
      <c r="C97" s="2" t="s">
        <v>17</v>
      </c>
      <c r="D97" s="161">
        <v>8454.2099999999991</v>
      </c>
      <c r="E97" s="161">
        <v>7662.54</v>
      </c>
      <c r="F97" s="161">
        <v>9722.34</v>
      </c>
      <c r="G97" s="3">
        <v>8811.93</v>
      </c>
    </row>
    <row r="98" spans="2:7" x14ac:dyDescent="0.25">
      <c r="B98" s="179"/>
      <c r="C98" s="2" t="s">
        <v>18</v>
      </c>
      <c r="D98" s="161">
        <v>8707.84</v>
      </c>
      <c r="E98" s="161">
        <v>7892.41</v>
      </c>
      <c r="F98" s="161">
        <v>10014.02</v>
      </c>
      <c r="G98" s="3">
        <v>9076.2999999999993</v>
      </c>
    </row>
    <row r="99" spans="2:7" x14ac:dyDescent="0.25">
      <c r="B99" s="179"/>
      <c r="C99" s="2" t="s">
        <v>19</v>
      </c>
      <c r="D99" s="161">
        <v>8969.08</v>
      </c>
      <c r="E99" s="161">
        <v>8129.17</v>
      </c>
      <c r="F99" s="161">
        <v>10314.44</v>
      </c>
      <c r="G99" s="3">
        <v>9348.59</v>
      </c>
    </row>
    <row r="100" spans="2:7" x14ac:dyDescent="0.25">
      <c r="B100" s="179"/>
      <c r="C100" s="2" t="s">
        <v>20</v>
      </c>
      <c r="D100" s="161">
        <v>9238.15</v>
      </c>
      <c r="E100" s="161">
        <v>8373.06</v>
      </c>
      <c r="F100" s="161">
        <v>10623.88</v>
      </c>
      <c r="G100" s="3">
        <v>9629.0499999999993</v>
      </c>
    </row>
    <row r="103" spans="2:7" ht="26.25" customHeight="1" x14ac:dyDescent="0.25">
      <c r="B103" s="203" t="s">
        <v>648</v>
      </c>
      <c r="C103" s="203"/>
      <c r="D103" s="203"/>
      <c r="E103" s="203"/>
      <c r="F103" s="203"/>
      <c r="G103" s="203"/>
    </row>
    <row r="105" spans="2:7" x14ac:dyDescent="0.25">
      <c r="B105" s="204" t="s">
        <v>3</v>
      </c>
      <c r="C105" s="204"/>
      <c r="D105" s="204"/>
      <c r="E105" s="204"/>
      <c r="F105" s="204"/>
    </row>
    <row r="106" spans="2:7" x14ac:dyDescent="0.25">
      <c r="B106" s="183" t="s">
        <v>4</v>
      </c>
      <c r="C106" s="183"/>
      <c r="D106" s="204" t="s">
        <v>5</v>
      </c>
      <c r="E106" s="204"/>
      <c r="F106" s="204"/>
    </row>
    <row r="107" spans="2:7" ht="30" x14ac:dyDescent="0.25">
      <c r="B107" s="183"/>
      <c r="C107" s="183"/>
      <c r="D107" s="171" t="s">
        <v>128</v>
      </c>
      <c r="E107" s="169" t="s">
        <v>32</v>
      </c>
      <c r="F107" s="171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1" t="s">
        <v>14</v>
      </c>
      <c r="C109" s="2" t="s">
        <v>15</v>
      </c>
      <c r="D109" s="161">
        <v>3665.27</v>
      </c>
      <c r="E109" s="161">
        <v>3104.43</v>
      </c>
      <c r="F109" s="161">
        <v>3104.43</v>
      </c>
    </row>
    <row r="110" spans="2:7" x14ac:dyDescent="0.25">
      <c r="B110" s="181"/>
      <c r="C110" s="2" t="s">
        <v>16</v>
      </c>
      <c r="D110" s="161">
        <v>3775.22</v>
      </c>
      <c r="E110" s="161">
        <v>3197.56</v>
      </c>
      <c r="F110" s="161">
        <v>3197.56</v>
      </c>
    </row>
    <row r="111" spans="2:7" x14ac:dyDescent="0.25">
      <c r="B111" s="181"/>
      <c r="C111" s="2" t="s">
        <v>17</v>
      </c>
      <c r="D111" s="161">
        <v>3888.48</v>
      </c>
      <c r="E111" s="161">
        <v>3293.48</v>
      </c>
      <c r="F111" s="161">
        <v>3293.48</v>
      </c>
    </row>
    <row r="112" spans="2:7" x14ac:dyDescent="0.25">
      <c r="B112" s="181"/>
      <c r="C112" s="2" t="s">
        <v>18</v>
      </c>
      <c r="D112" s="161">
        <v>4005.14</v>
      </c>
      <c r="E112" s="161">
        <v>3392.28</v>
      </c>
      <c r="F112" s="161">
        <v>3392.28</v>
      </c>
    </row>
    <row r="113" spans="2:6" x14ac:dyDescent="0.25">
      <c r="B113" s="181"/>
      <c r="C113" s="2" t="s">
        <v>19</v>
      </c>
      <c r="D113" s="161">
        <v>4125.3</v>
      </c>
      <c r="E113" s="161">
        <v>3494.05</v>
      </c>
      <c r="F113" s="161">
        <v>3494.05</v>
      </c>
    </row>
    <row r="114" spans="2:6" x14ac:dyDescent="0.25">
      <c r="B114" s="181"/>
      <c r="C114" s="2" t="s">
        <v>20</v>
      </c>
      <c r="D114" s="161">
        <v>4249.05</v>
      </c>
      <c r="E114" s="161">
        <v>3598.87</v>
      </c>
      <c r="F114" s="161">
        <v>3598.87</v>
      </c>
    </row>
    <row r="115" spans="2:6" x14ac:dyDescent="0.25">
      <c r="B115" s="179" t="s">
        <v>21</v>
      </c>
      <c r="C115" s="2" t="s">
        <v>15</v>
      </c>
      <c r="D115" s="161">
        <v>4461.51</v>
      </c>
      <c r="E115" s="161">
        <v>3778.81</v>
      </c>
      <c r="F115" s="161">
        <v>3778.81</v>
      </c>
    </row>
    <row r="116" spans="2:6" x14ac:dyDescent="0.25">
      <c r="B116" s="179"/>
      <c r="C116" s="2" t="s">
        <v>16</v>
      </c>
      <c r="D116" s="161">
        <v>4595.3500000000004</v>
      </c>
      <c r="E116" s="161">
        <v>3892.18</v>
      </c>
      <c r="F116" s="161">
        <v>3892.18</v>
      </c>
    </row>
    <row r="117" spans="2:6" x14ac:dyDescent="0.25">
      <c r="B117" s="179"/>
      <c r="C117" s="2" t="s">
        <v>17</v>
      </c>
      <c r="D117" s="161">
        <v>4733.2299999999996</v>
      </c>
      <c r="E117" s="161">
        <v>4008.92</v>
      </c>
      <c r="F117" s="161">
        <v>4008.92</v>
      </c>
    </row>
    <row r="118" spans="2:6" x14ac:dyDescent="0.25">
      <c r="B118" s="179"/>
      <c r="C118" s="2" t="s">
        <v>18</v>
      </c>
      <c r="D118" s="161">
        <v>4875.22</v>
      </c>
      <c r="E118" s="161">
        <v>4129.1899999999996</v>
      </c>
      <c r="F118" s="161">
        <v>4129.1899999999996</v>
      </c>
    </row>
    <row r="119" spans="2:6" x14ac:dyDescent="0.25">
      <c r="B119" s="179"/>
      <c r="C119" s="2" t="s">
        <v>19</v>
      </c>
      <c r="D119" s="161">
        <v>5021.49</v>
      </c>
      <c r="E119" s="161">
        <v>4253.07</v>
      </c>
      <c r="F119" s="161">
        <v>4253.07</v>
      </c>
    </row>
    <row r="120" spans="2:6" x14ac:dyDescent="0.25">
      <c r="B120" s="179"/>
      <c r="C120" s="2" t="s">
        <v>20</v>
      </c>
      <c r="D120" s="161">
        <v>5172.1400000000003</v>
      </c>
      <c r="E120" s="161">
        <v>4380.66</v>
      </c>
      <c r="F120" s="161">
        <v>4380.66</v>
      </c>
    </row>
    <row r="121" spans="2:6" x14ac:dyDescent="0.25">
      <c r="B121" s="179" t="s">
        <v>22</v>
      </c>
      <c r="C121" s="2" t="s">
        <v>15</v>
      </c>
      <c r="D121" s="161">
        <v>5430.73</v>
      </c>
      <c r="E121" s="161">
        <v>4599.71</v>
      </c>
      <c r="F121" s="161">
        <v>4599.71</v>
      </c>
    </row>
    <row r="122" spans="2:6" x14ac:dyDescent="0.25">
      <c r="B122" s="179"/>
      <c r="C122" s="2" t="s">
        <v>16</v>
      </c>
      <c r="D122" s="161">
        <v>5593.66</v>
      </c>
      <c r="E122" s="161">
        <v>4737.6899999999996</v>
      </c>
      <c r="F122" s="161">
        <v>4737.6899999999996</v>
      </c>
    </row>
    <row r="123" spans="2:6" x14ac:dyDescent="0.25">
      <c r="B123" s="179"/>
      <c r="C123" s="2" t="s">
        <v>17</v>
      </c>
      <c r="D123" s="161">
        <v>5761.47</v>
      </c>
      <c r="E123" s="161">
        <v>4879.82</v>
      </c>
      <c r="F123" s="161">
        <v>4879.82</v>
      </c>
    </row>
    <row r="124" spans="2:6" x14ac:dyDescent="0.25">
      <c r="B124" s="179"/>
      <c r="C124" s="2" t="s">
        <v>18</v>
      </c>
      <c r="D124" s="161">
        <v>5934.31</v>
      </c>
      <c r="E124" s="161">
        <v>5026.21</v>
      </c>
      <c r="F124" s="161">
        <v>5026.21</v>
      </c>
    </row>
    <row r="125" spans="2:6" x14ac:dyDescent="0.25">
      <c r="B125" s="179"/>
      <c r="C125" s="2" t="s">
        <v>19</v>
      </c>
      <c r="D125" s="161">
        <v>6112.36</v>
      </c>
      <c r="E125" s="161">
        <v>5177.01</v>
      </c>
      <c r="F125" s="161">
        <v>5177.01</v>
      </c>
    </row>
    <row r="126" spans="2:6" x14ac:dyDescent="0.25">
      <c r="B126" s="179"/>
      <c r="C126" s="2" t="s">
        <v>20</v>
      </c>
      <c r="D126" s="161">
        <v>6295.72</v>
      </c>
      <c r="E126" s="161">
        <v>5332.33</v>
      </c>
      <c r="F126" s="161">
        <v>5332.33</v>
      </c>
    </row>
    <row r="130" spans="2:19" ht="31.5" customHeight="1" x14ac:dyDescent="0.25">
      <c r="B130" s="202" t="s">
        <v>634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</row>
    <row r="132" spans="2:19" x14ac:dyDescent="0.25">
      <c r="B132" s="114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83" t="s">
        <v>125</v>
      </c>
      <c r="C134" s="183"/>
      <c r="D134" s="183" t="s">
        <v>630</v>
      </c>
      <c r="E134" s="183"/>
      <c r="F134" s="183"/>
      <c r="G134" s="183"/>
      <c r="H134" s="183" t="s">
        <v>631</v>
      </c>
      <c r="I134" s="179"/>
      <c r="J134" s="179"/>
      <c r="K134" s="179" t="s">
        <v>632</v>
      </c>
      <c r="L134" s="179"/>
      <c r="M134" s="179"/>
      <c r="N134" s="179"/>
    </row>
    <row r="135" spans="2:19" ht="90" customHeight="1" x14ac:dyDescent="0.25">
      <c r="B135" s="195" t="s">
        <v>50</v>
      </c>
      <c r="C135" s="195"/>
      <c r="D135" s="195" t="s">
        <v>51</v>
      </c>
      <c r="E135" s="195"/>
      <c r="F135" s="195"/>
      <c r="G135" s="195"/>
      <c r="H135" s="195" t="s">
        <v>52</v>
      </c>
      <c r="I135" s="195"/>
      <c r="J135" s="195"/>
      <c r="K135" s="195" t="s">
        <v>53</v>
      </c>
      <c r="L135" s="195"/>
      <c r="M135" s="195"/>
      <c r="N135" s="195"/>
      <c r="O135" s="22" t="s">
        <v>130</v>
      </c>
      <c r="P135" s="22" t="s">
        <v>131</v>
      </c>
      <c r="Q135" s="21" t="s">
        <v>132</v>
      </c>
      <c r="R135" s="107">
        <v>37589.96</v>
      </c>
      <c r="S135" s="55" t="s">
        <v>604</v>
      </c>
    </row>
    <row r="136" spans="2:19" ht="183" customHeight="1" x14ac:dyDescent="0.25">
      <c r="B136" s="195" t="s">
        <v>665</v>
      </c>
      <c r="C136" s="195"/>
      <c r="D136" s="195" t="s">
        <v>658</v>
      </c>
      <c r="E136" s="195"/>
      <c r="F136" s="195"/>
      <c r="G136" s="195"/>
      <c r="H136" s="199" t="s">
        <v>1005</v>
      </c>
      <c r="I136" s="199"/>
      <c r="J136" s="199"/>
      <c r="K136" s="199" t="s">
        <v>1004</v>
      </c>
      <c r="L136" s="199"/>
      <c r="M136" s="199"/>
      <c r="N136" s="199"/>
    </row>
    <row r="137" spans="2:19" ht="121.5" customHeight="1" x14ac:dyDescent="0.25">
      <c r="B137" s="195" t="s">
        <v>666</v>
      </c>
      <c r="C137" s="195"/>
      <c r="D137" s="195" t="s">
        <v>659</v>
      </c>
      <c r="E137" s="195"/>
      <c r="F137" s="195"/>
      <c r="G137" s="195"/>
      <c r="H137" s="200">
        <v>3100</v>
      </c>
      <c r="I137" s="201"/>
      <c r="J137" s="201"/>
      <c r="K137" s="199" t="s">
        <v>998</v>
      </c>
      <c r="L137" s="199"/>
      <c r="M137" s="199"/>
      <c r="N137" s="199"/>
    </row>
    <row r="138" spans="2:19" ht="162" customHeight="1" x14ac:dyDescent="0.25">
      <c r="B138" s="195" t="s">
        <v>667</v>
      </c>
      <c r="C138" s="195"/>
      <c r="D138" s="195" t="s">
        <v>660</v>
      </c>
      <c r="E138" s="195"/>
      <c r="F138" s="195"/>
      <c r="G138" s="195"/>
      <c r="H138" s="200">
        <v>28.88</v>
      </c>
      <c r="I138" s="201"/>
      <c r="J138" s="201"/>
      <c r="K138" s="199" t="s">
        <v>996</v>
      </c>
      <c r="L138" s="199"/>
      <c r="M138" s="199"/>
      <c r="N138" s="199"/>
    </row>
    <row r="139" spans="2:19" ht="90" customHeight="1" x14ac:dyDescent="0.25">
      <c r="B139" s="195" t="s">
        <v>656</v>
      </c>
      <c r="C139" s="195"/>
      <c r="D139" s="195" t="s">
        <v>66</v>
      </c>
      <c r="E139" s="195"/>
      <c r="F139" s="195"/>
      <c r="G139" s="195"/>
      <c r="H139" s="199" t="s">
        <v>67</v>
      </c>
      <c r="I139" s="199"/>
      <c r="J139" s="199"/>
      <c r="K139" s="199" t="s">
        <v>652</v>
      </c>
      <c r="L139" s="199"/>
      <c r="M139" s="199"/>
      <c r="N139" s="199"/>
    </row>
    <row r="140" spans="2:19" ht="90" customHeight="1" x14ac:dyDescent="0.25">
      <c r="B140" s="195" t="s">
        <v>69</v>
      </c>
      <c r="C140" s="195"/>
      <c r="D140" s="195" t="s">
        <v>70</v>
      </c>
      <c r="E140" s="195"/>
      <c r="F140" s="195"/>
      <c r="G140" s="195"/>
      <c r="H140" s="199" t="s">
        <v>67</v>
      </c>
      <c r="I140" s="199"/>
      <c r="J140" s="199"/>
      <c r="K140" s="199" t="s">
        <v>653</v>
      </c>
      <c r="L140" s="199"/>
      <c r="M140" s="199"/>
      <c r="N140" s="199"/>
    </row>
    <row r="141" spans="2:19" ht="90" customHeight="1" x14ac:dyDescent="0.25">
      <c r="B141" s="195" t="s">
        <v>71</v>
      </c>
      <c r="C141" s="195"/>
      <c r="D141" s="195" t="s">
        <v>72</v>
      </c>
      <c r="E141" s="195"/>
      <c r="F141" s="195"/>
      <c r="G141" s="195"/>
      <c r="H141" s="199" t="s">
        <v>1007</v>
      </c>
      <c r="I141" s="199"/>
      <c r="J141" s="199"/>
      <c r="K141" s="199" t="s">
        <v>74</v>
      </c>
      <c r="L141" s="199"/>
      <c r="M141" s="199"/>
      <c r="N141" s="199"/>
    </row>
    <row r="142" spans="2:19" ht="90" customHeight="1" x14ac:dyDescent="0.25">
      <c r="B142" s="195" t="s">
        <v>75</v>
      </c>
      <c r="C142" s="195"/>
      <c r="D142" s="195" t="s">
        <v>76</v>
      </c>
      <c r="E142" s="195"/>
      <c r="F142" s="195"/>
      <c r="G142" s="195"/>
      <c r="H142" s="199" t="s">
        <v>1007</v>
      </c>
      <c r="I142" s="199"/>
      <c r="J142" s="199"/>
      <c r="K142" s="199" t="s">
        <v>77</v>
      </c>
      <c r="L142" s="199"/>
      <c r="M142" s="199"/>
      <c r="N142" s="199"/>
    </row>
    <row r="143" spans="2:19" ht="90" customHeight="1" x14ac:dyDescent="0.25">
      <c r="B143" s="195" t="s">
        <v>78</v>
      </c>
      <c r="C143" s="195"/>
      <c r="D143" s="195" t="s">
        <v>79</v>
      </c>
      <c r="E143" s="195"/>
      <c r="F143" s="195"/>
      <c r="G143" s="195"/>
      <c r="H143" s="200">
        <v>1746.49</v>
      </c>
      <c r="I143" s="201"/>
      <c r="J143" s="201"/>
      <c r="K143" s="199" t="s">
        <v>1001</v>
      </c>
      <c r="L143" s="199"/>
      <c r="M143" s="199"/>
      <c r="N143" s="199"/>
      <c r="O143" s="54"/>
    </row>
    <row r="144" spans="2:19" ht="90" customHeight="1" x14ac:dyDescent="0.25">
      <c r="B144" s="195" t="s">
        <v>81</v>
      </c>
      <c r="C144" s="195"/>
      <c r="D144" s="195" t="s">
        <v>82</v>
      </c>
      <c r="E144" s="195"/>
      <c r="F144" s="195"/>
      <c r="G144" s="195"/>
      <c r="H144" s="200">
        <v>1746.49</v>
      </c>
      <c r="I144" s="201"/>
      <c r="J144" s="201"/>
      <c r="K144" s="199" t="s">
        <v>1001</v>
      </c>
      <c r="L144" s="199"/>
      <c r="M144" s="199"/>
      <c r="N144" s="199"/>
    </row>
    <row r="145" spans="2:14" ht="90" customHeight="1" x14ac:dyDescent="0.25">
      <c r="B145" s="195" t="s">
        <v>84</v>
      </c>
      <c r="C145" s="195"/>
      <c r="D145" s="195" t="s">
        <v>85</v>
      </c>
      <c r="E145" s="195"/>
      <c r="F145" s="195"/>
      <c r="G145" s="195"/>
      <c r="H145" s="199" t="s">
        <v>1006</v>
      </c>
      <c r="I145" s="199"/>
      <c r="J145" s="199"/>
      <c r="K145" s="199" t="s">
        <v>1001</v>
      </c>
      <c r="L145" s="199"/>
      <c r="M145" s="199"/>
      <c r="N145" s="199"/>
    </row>
    <row r="146" spans="2:14" ht="108" customHeight="1" x14ac:dyDescent="0.25">
      <c r="B146" s="195" t="s">
        <v>606</v>
      </c>
      <c r="C146" s="195"/>
      <c r="D146" s="195" t="s">
        <v>651</v>
      </c>
      <c r="E146" s="195"/>
      <c r="F146" s="195"/>
      <c r="G146" s="195"/>
      <c r="H146" s="199" t="s">
        <v>997</v>
      </c>
      <c r="I146" s="199"/>
      <c r="J146" s="199"/>
      <c r="K146" s="199" t="s">
        <v>998</v>
      </c>
      <c r="L146" s="199"/>
      <c r="M146" s="199"/>
      <c r="N146" s="199"/>
    </row>
    <row r="147" spans="2:14" ht="113.25" customHeight="1" x14ac:dyDescent="0.25">
      <c r="B147" s="195" t="s">
        <v>607</v>
      </c>
      <c r="C147" s="195"/>
      <c r="D147" s="195" t="s">
        <v>650</v>
      </c>
      <c r="E147" s="195"/>
      <c r="F147" s="195"/>
      <c r="G147" s="195"/>
      <c r="H147" s="196" t="s">
        <v>662</v>
      </c>
      <c r="I147" s="196"/>
      <c r="J147" s="196"/>
      <c r="K147" s="195" t="s">
        <v>996</v>
      </c>
      <c r="L147" s="195"/>
      <c r="M147" s="195"/>
      <c r="N147" s="195"/>
    </row>
    <row r="148" spans="2:14" ht="75.75" customHeight="1" x14ac:dyDescent="0.25">
      <c r="B148" s="195" t="s">
        <v>649</v>
      </c>
      <c r="C148" s="195"/>
      <c r="D148" s="195" t="s">
        <v>664</v>
      </c>
      <c r="E148" s="195"/>
      <c r="F148" s="195"/>
      <c r="G148" s="195"/>
      <c r="H148" s="197">
        <v>2306.87</v>
      </c>
      <c r="I148" s="198"/>
      <c r="J148" s="198"/>
      <c r="K148" s="195" t="s">
        <v>655</v>
      </c>
      <c r="L148" s="195"/>
      <c r="M148" s="195"/>
      <c r="N148" s="195"/>
    </row>
    <row r="153" spans="2:14" ht="21" x14ac:dyDescent="0.35">
      <c r="B153" s="178" t="s">
        <v>638</v>
      </c>
      <c r="C153" s="178"/>
      <c r="D153" s="178"/>
      <c r="E153" s="178"/>
      <c r="F153" s="178"/>
      <c r="G153" s="178"/>
      <c r="H153" s="178"/>
      <c r="I153" s="178"/>
    </row>
    <row r="155" spans="2:14" x14ac:dyDescent="0.25">
      <c r="B155" s="114" t="s">
        <v>635</v>
      </c>
    </row>
    <row r="157" spans="2:14" x14ac:dyDescent="0.25">
      <c r="B157" t="s">
        <v>637</v>
      </c>
    </row>
    <row r="159" spans="2:14" x14ac:dyDescent="0.25">
      <c r="B159" s="194" t="s">
        <v>643</v>
      </c>
      <c r="C159" s="194"/>
      <c r="D159" s="68" t="s">
        <v>1003</v>
      </c>
      <c r="E159" s="68"/>
      <c r="F159" s="68"/>
      <c r="G159" s="69"/>
    </row>
    <row r="160" spans="2:14" x14ac:dyDescent="0.25">
      <c r="B160" s="194"/>
      <c r="C160" s="194"/>
      <c r="D160" s="115" t="s">
        <v>90</v>
      </c>
      <c r="E160" s="72" t="s">
        <v>91</v>
      </c>
      <c r="F160" s="72" t="s">
        <v>92</v>
      </c>
      <c r="G160" s="72" t="s">
        <v>93</v>
      </c>
    </row>
    <row r="161" spans="2:12" ht="18" customHeight="1" x14ac:dyDescent="0.25">
      <c r="B161" s="192" t="s">
        <v>94</v>
      </c>
      <c r="C161" s="192"/>
      <c r="D161" s="145">
        <v>5037.95</v>
      </c>
      <c r="E161" s="145">
        <v>503.79500000000002</v>
      </c>
      <c r="F161" s="145">
        <v>1511.385</v>
      </c>
      <c r="G161" s="145">
        <v>3022.77</v>
      </c>
      <c r="H161" s="167"/>
      <c r="I161" s="167"/>
      <c r="J161" s="167"/>
      <c r="K161" s="167"/>
      <c r="L161" s="56"/>
    </row>
    <row r="162" spans="2:12" ht="18" customHeight="1" x14ac:dyDescent="0.25">
      <c r="B162" s="192" t="s">
        <v>95</v>
      </c>
      <c r="C162" s="192"/>
      <c r="D162" s="145">
        <v>4851.53</v>
      </c>
      <c r="E162" s="145">
        <v>485.15300000000002</v>
      </c>
      <c r="F162" s="145">
        <v>1455.4589999999998</v>
      </c>
      <c r="G162" s="145">
        <v>2910.9179999999997</v>
      </c>
      <c r="H162" s="167"/>
      <c r="I162" s="167"/>
      <c r="J162" s="167"/>
      <c r="K162" s="167"/>
      <c r="L162" s="56"/>
    </row>
    <row r="163" spans="2:12" ht="18" customHeight="1" x14ac:dyDescent="0.25">
      <c r="B163" s="192" t="s">
        <v>96</v>
      </c>
      <c r="C163" s="192"/>
      <c r="D163" s="145">
        <v>2612.1799999999998</v>
      </c>
      <c r="E163" s="145">
        <v>261.21800000000002</v>
      </c>
      <c r="F163" s="145">
        <v>783.65399999999988</v>
      </c>
      <c r="G163" s="145">
        <v>1567.3079999999998</v>
      </c>
      <c r="H163" s="167"/>
      <c r="I163" s="167"/>
      <c r="J163" s="167"/>
      <c r="K163" s="167"/>
      <c r="L163" s="56"/>
    </row>
    <row r="164" spans="2:12" ht="18" customHeight="1" x14ac:dyDescent="0.25">
      <c r="B164" s="192" t="s">
        <v>97</v>
      </c>
      <c r="C164" s="192"/>
      <c r="D164" s="145">
        <v>4104.8999999999996</v>
      </c>
      <c r="E164" s="145">
        <v>410.49</v>
      </c>
      <c r="F164" s="145">
        <v>1231.4699999999998</v>
      </c>
      <c r="G164" s="145">
        <v>2462.9399999999996</v>
      </c>
      <c r="H164" s="167"/>
      <c r="I164" s="167"/>
      <c r="J164" s="167"/>
      <c r="K164" s="167"/>
      <c r="L164" s="56"/>
    </row>
    <row r="165" spans="2:12" ht="18" customHeight="1" x14ac:dyDescent="0.25">
      <c r="B165" s="192" t="s">
        <v>98</v>
      </c>
      <c r="C165" s="192"/>
      <c r="D165" s="145">
        <v>3918.51</v>
      </c>
      <c r="E165" s="145">
        <v>391.85100000000006</v>
      </c>
      <c r="F165" s="145">
        <v>1175.5530000000001</v>
      </c>
      <c r="G165" s="145">
        <v>2351.1060000000002</v>
      </c>
      <c r="H165" s="167"/>
      <c r="I165" s="167"/>
      <c r="J165" s="167"/>
      <c r="K165" s="167"/>
      <c r="L165" s="56"/>
    </row>
    <row r="166" spans="2:12" ht="18" customHeight="1" x14ac:dyDescent="0.25">
      <c r="B166" s="192" t="s">
        <v>99</v>
      </c>
      <c r="C166" s="192"/>
      <c r="D166" s="145">
        <v>3918.51</v>
      </c>
      <c r="E166" s="145">
        <v>391.85100000000006</v>
      </c>
      <c r="F166" s="145">
        <v>1175.5530000000001</v>
      </c>
      <c r="G166" s="145">
        <v>2351.1060000000002</v>
      </c>
      <c r="H166" s="167"/>
      <c r="I166" s="167"/>
      <c r="J166" s="167"/>
      <c r="K166" s="167"/>
      <c r="L166" s="56"/>
    </row>
    <row r="167" spans="2:12" ht="18" customHeight="1" x14ac:dyDescent="0.25">
      <c r="B167" s="192" t="s">
        <v>100</v>
      </c>
      <c r="C167" s="192"/>
      <c r="D167" s="145">
        <v>2612.1799999999998</v>
      </c>
      <c r="E167" s="145">
        <v>261.21800000000002</v>
      </c>
      <c r="F167" s="145">
        <v>783.65399999999988</v>
      </c>
      <c r="G167" s="145">
        <v>1567.3079999999998</v>
      </c>
      <c r="H167" s="167"/>
      <c r="I167" s="167"/>
      <c r="J167" s="167"/>
      <c r="K167" s="167"/>
      <c r="L167" s="56"/>
    </row>
    <row r="168" spans="2:12" ht="18" customHeight="1" x14ac:dyDescent="0.25">
      <c r="B168" s="192" t="s">
        <v>668</v>
      </c>
      <c r="C168" s="192"/>
      <c r="D168" s="145">
        <v>1866.06</v>
      </c>
      <c r="E168" s="145">
        <v>186.60599999999999</v>
      </c>
      <c r="F168" s="145">
        <v>559.81799999999998</v>
      </c>
      <c r="G168" s="145">
        <v>1119.636</v>
      </c>
      <c r="H168" s="167"/>
      <c r="I168" s="167"/>
      <c r="J168" s="167"/>
      <c r="K168" s="167"/>
      <c r="L168" s="56"/>
    </row>
    <row r="172" spans="2:12" x14ac:dyDescent="0.25">
      <c r="B172" t="s">
        <v>639</v>
      </c>
    </row>
    <row r="173" spans="2:12" x14ac:dyDescent="0.25">
      <c r="B173" t="s">
        <v>102</v>
      </c>
    </row>
    <row r="174" spans="2:12" x14ac:dyDescent="0.25">
      <c r="B174" s="75" t="s">
        <v>103</v>
      </c>
      <c r="C174" s="75" t="s">
        <v>104</v>
      </c>
      <c r="D174" s="75" t="s">
        <v>105</v>
      </c>
      <c r="E174" s="193" t="s">
        <v>106</v>
      </c>
      <c r="F174" s="193"/>
      <c r="G174" s="193"/>
    </row>
    <row r="175" spans="2:12" x14ac:dyDescent="0.25">
      <c r="B175" s="75"/>
      <c r="C175" s="75"/>
      <c r="D175" s="75"/>
      <c r="E175" s="176" t="s">
        <v>107</v>
      </c>
      <c r="F175" s="176" t="s">
        <v>108</v>
      </c>
      <c r="G175" s="75" t="s">
        <v>109</v>
      </c>
    </row>
    <row r="176" spans="2:12" ht="15" customHeight="1" x14ac:dyDescent="0.25">
      <c r="B176" s="180" t="s">
        <v>688</v>
      </c>
      <c r="C176" s="181" t="s">
        <v>14</v>
      </c>
      <c r="D176" s="77" t="s">
        <v>15</v>
      </c>
      <c r="E176" s="164">
        <v>399.22</v>
      </c>
      <c r="F176" s="164">
        <v>798.42</v>
      </c>
      <c r="G176" s="164">
        <v>1197.6300000000001</v>
      </c>
    </row>
    <row r="177" spans="2:7" x14ac:dyDescent="0.25">
      <c r="B177" s="180"/>
      <c r="C177" s="181"/>
      <c r="D177" s="77" t="s">
        <v>16</v>
      </c>
      <c r="E177" s="164">
        <v>407.21</v>
      </c>
      <c r="F177" s="164">
        <v>814.38</v>
      </c>
      <c r="G177" s="164">
        <v>1221.5899999999999</v>
      </c>
    </row>
    <row r="178" spans="2:7" x14ac:dyDescent="0.25">
      <c r="B178" s="180"/>
      <c r="C178" s="181"/>
      <c r="D178" s="77" t="s">
        <v>17</v>
      </c>
      <c r="E178" s="164">
        <v>415.35</v>
      </c>
      <c r="F178" s="164">
        <v>830.68</v>
      </c>
      <c r="G178" s="164">
        <v>1246.02</v>
      </c>
    </row>
    <row r="179" spans="2:7" x14ac:dyDescent="0.25">
      <c r="B179" s="180"/>
      <c r="C179" s="181"/>
      <c r="D179" s="77" t="s">
        <v>18</v>
      </c>
      <c r="E179" s="164">
        <v>423.64</v>
      </c>
      <c r="F179" s="164">
        <v>847.3</v>
      </c>
      <c r="G179" s="164">
        <v>1270.94</v>
      </c>
    </row>
    <row r="180" spans="2:7" x14ac:dyDescent="0.25">
      <c r="B180" s="180"/>
      <c r="C180" s="181"/>
      <c r="D180" s="77" t="s">
        <v>19</v>
      </c>
      <c r="E180" s="164">
        <v>432.13</v>
      </c>
      <c r="F180" s="164">
        <v>864.26</v>
      </c>
      <c r="G180" s="164">
        <v>1296.3499999999999</v>
      </c>
    </row>
    <row r="181" spans="2:7" x14ac:dyDescent="0.25">
      <c r="B181" s="180"/>
      <c r="C181" s="181"/>
      <c r="D181" s="77" t="s">
        <v>20</v>
      </c>
      <c r="E181" s="164">
        <v>440.75</v>
      </c>
      <c r="F181" s="164">
        <v>881.53</v>
      </c>
      <c r="G181" s="164">
        <v>1322.28</v>
      </c>
    </row>
    <row r="182" spans="2:7" x14ac:dyDescent="0.25">
      <c r="B182" s="180"/>
      <c r="C182" s="181" t="s">
        <v>21</v>
      </c>
      <c r="D182" s="77" t="s">
        <v>15</v>
      </c>
      <c r="E182" s="164">
        <v>449.58</v>
      </c>
      <c r="F182" s="164">
        <v>899.17</v>
      </c>
      <c r="G182" s="164">
        <v>1348.74</v>
      </c>
    </row>
    <row r="183" spans="2:7" x14ac:dyDescent="0.25">
      <c r="B183" s="180"/>
      <c r="C183" s="181"/>
      <c r="D183" s="77" t="s">
        <v>16</v>
      </c>
      <c r="E183" s="164">
        <v>458.58</v>
      </c>
      <c r="F183" s="164">
        <v>917.14</v>
      </c>
      <c r="G183" s="164">
        <v>1375.71</v>
      </c>
    </row>
    <row r="184" spans="2:7" x14ac:dyDescent="0.25">
      <c r="B184" s="180"/>
      <c r="C184" s="181"/>
      <c r="D184" s="77" t="s">
        <v>17</v>
      </c>
      <c r="E184" s="164">
        <v>467.72</v>
      </c>
      <c r="F184" s="164">
        <v>935.5</v>
      </c>
      <c r="G184" s="164">
        <v>1403.23</v>
      </c>
    </row>
    <row r="185" spans="2:7" x14ac:dyDescent="0.25">
      <c r="B185" s="180"/>
      <c r="C185" s="181"/>
      <c r="D185" s="77" t="s">
        <v>18</v>
      </c>
      <c r="E185" s="164">
        <v>477.11</v>
      </c>
      <c r="F185" s="164">
        <v>954.19</v>
      </c>
      <c r="G185" s="164">
        <v>1431.29</v>
      </c>
    </row>
    <row r="186" spans="2:7" x14ac:dyDescent="0.25">
      <c r="B186" s="180"/>
      <c r="C186" s="181"/>
      <c r="D186" s="77" t="s">
        <v>19</v>
      </c>
      <c r="E186" s="164">
        <v>486.64</v>
      </c>
      <c r="F186" s="164">
        <v>973.27</v>
      </c>
      <c r="G186" s="164">
        <v>1459.92</v>
      </c>
    </row>
    <row r="187" spans="2:7" x14ac:dyDescent="0.25">
      <c r="B187" s="180"/>
      <c r="C187" s="181"/>
      <c r="D187" s="77" t="s">
        <v>20</v>
      </c>
      <c r="E187" s="164">
        <v>496.37</v>
      </c>
      <c r="F187" s="164">
        <v>992.73</v>
      </c>
      <c r="G187" s="164">
        <v>1489.11</v>
      </c>
    </row>
    <row r="188" spans="2:7" x14ac:dyDescent="0.25">
      <c r="B188" s="180"/>
      <c r="C188" s="180" t="s">
        <v>112</v>
      </c>
      <c r="D188" s="77" t="s">
        <v>15</v>
      </c>
      <c r="E188" s="164">
        <v>506.29</v>
      </c>
      <c r="F188" s="164">
        <v>1012.59</v>
      </c>
      <c r="G188" s="164">
        <v>1518.88</v>
      </c>
    </row>
    <row r="189" spans="2:7" x14ac:dyDescent="0.25">
      <c r="B189" s="180"/>
      <c r="C189" s="180"/>
      <c r="D189" s="77" t="s">
        <v>16</v>
      </c>
      <c r="E189" s="164">
        <v>516.41</v>
      </c>
      <c r="F189" s="164">
        <v>1032.8399999999999</v>
      </c>
      <c r="G189" s="164">
        <v>1549.25</v>
      </c>
    </row>
    <row r="190" spans="2:7" x14ac:dyDescent="0.25">
      <c r="B190" s="180"/>
      <c r="C190" s="180"/>
      <c r="D190" s="77" t="s">
        <v>17</v>
      </c>
      <c r="E190" s="164">
        <v>526.75</v>
      </c>
      <c r="F190" s="164">
        <v>1053.5</v>
      </c>
      <c r="G190" s="164">
        <v>1580.26</v>
      </c>
    </row>
    <row r="191" spans="2:7" x14ac:dyDescent="0.25">
      <c r="B191" s="180"/>
      <c r="C191" s="180"/>
      <c r="D191" s="77" t="s">
        <v>18</v>
      </c>
      <c r="E191" s="164">
        <v>537.29</v>
      </c>
      <c r="F191" s="164">
        <v>1074.57</v>
      </c>
      <c r="G191" s="164">
        <v>1611.86</v>
      </c>
    </row>
    <row r="192" spans="2:7" x14ac:dyDescent="0.25">
      <c r="B192" s="180"/>
      <c r="C192" s="180"/>
      <c r="D192" s="77" t="s">
        <v>19</v>
      </c>
      <c r="E192" s="164">
        <v>548.02</v>
      </c>
      <c r="F192" s="164">
        <v>1096.06</v>
      </c>
      <c r="G192" s="164">
        <v>1644.09</v>
      </c>
    </row>
    <row r="193" spans="2:8" x14ac:dyDescent="0.25">
      <c r="B193" s="180"/>
      <c r="C193" s="180"/>
      <c r="D193" s="77" t="s">
        <v>20</v>
      </c>
      <c r="E193" s="164">
        <v>558.99</v>
      </c>
      <c r="F193" s="164">
        <v>1117.98</v>
      </c>
      <c r="G193" s="164">
        <v>1676.98</v>
      </c>
    </row>
    <row r="194" spans="2:8" x14ac:dyDescent="0.25">
      <c r="B194" s="137"/>
      <c r="C194" s="138"/>
      <c r="D194" s="139"/>
      <c r="E194" s="140"/>
      <c r="F194" s="141"/>
      <c r="G194" s="142"/>
    </row>
    <row r="195" spans="2:8" x14ac:dyDescent="0.25">
      <c r="B195" s="137"/>
      <c r="C195" s="138"/>
      <c r="D195" s="139"/>
      <c r="E195" s="140"/>
      <c r="F195" s="141"/>
      <c r="G195" s="142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79" t="s">
        <v>114</v>
      </c>
      <c r="C199" s="179"/>
      <c r="D199" s="179"/>
      <c r="E199" s="179"/>
      <c r="F199" s="179"/>
      <c r="G199" s="179"/>
      <c r="H199" s="179"/>
    </row>
    <row r="200" spans="2:8" x14ac:dyDescent="0.25">
      <c r="B200" s="180" t="s">
        <v>115</v>
      </c>
      <c r="C200" s="181" t="s">
        <v>116</v>
      </c>
      <c r="D200" s="181" t="s">
        <v>117</v>
      </c>
      <c r="E200" s="182" t="s">
        <v>106</v>
      </c>
      <c r="F200" s="182"/>
      <c r="G200" s="182"/>
      <c r="H200" s="182"/>
    </row>
    <row r="201" spans="2:8" ht="30" x14ac:dyDescent="0.25">
      <c r="B201" s="180"/>
      <c r="C201" s="181"/>
      <c r="D201" s="181"/>
      <c r="E201" s="172" t="s">
        <v>118</v>
      </c>
      <c r="F201" s="172" t="s">
        <v>107</v>
      </c>
      <c r="G201" s="172" t="s">
        <v>108</v>
      </c>
      <c r="H201" s="172" t="s">
        <v>109</v>
      </c>
    </row>
    <row r="202" spans="2:8" x14ac:dyDescent="0.25">
      <c r="B202" s="180" t="s">
        <v>119</v>
      </c>
      <c r="C202" s="191" t="s">
        <v>14</v>
      </c>
      <c r="D202" s="173" t="s">
        <v>15</v>
      </c>
      <c r="E202" s="163">
        <v>212.03</v>
      </c>
      <c r="F202" s="163">
        <v>212.03</v>
      </c>
      <c r="G202" s="163">
        <v>424.04</v>
      </c>
      <c r="H202" s="163">
        <v>636.08000000000004</v>
      </c>
    </row>
    <row r="203" spans="2:8" x14ac:dyDescent="0.25">
      <c r="B203" s="180"/>
      <c r="C203" s="191"/>
      <c r="D203" s="173" t="s">
        <v>16</v>
      </c>
      <c r="E203" s="163">
        <v>216.27</v>
      </c>
      <c r="F203" s="163">
        <v>216.27</v>
      </c>
      <c r="G203" s="163">
        <v>432.55</v>
      </c>
      <c r="H203" s="163">
        <v>648.80999999999995</v>
      </c>
    </row>
    <row r="204" spans="2:8" x14ac:dyDescent="0.25">
      <c r="B204" s="180"/>
      <c r="C204" s="191"/>
      <c r="D204" s="173" t="s">
        <v>17</v>
      </c>
      <c r="E204" s="163">
        <v>220.62</v>
      </c>
      <c r="F204" s="163">
        <v>220.62</v>
      </c>
      <c r="G204" s="163">
        <v>441.19</v>
      </c>
      <c r="H204" s="163">
        <v>661.78</v>
      </c>
    </row>
    <row r="205" spans="2:8" x14ac:dyDescent="0.25">
      <c r="B205" s="180"/>
      <c r="C205" s="191"/>
      <c r="D205" s="173" t="s">
        <v>18</v>
      </c>
      <c r="E205" s="163">
        <v>224.99</v>
      </c>
      <c r="F205" s="163">
        <v>224.99</v>
      </c>
      <c r="G205" s="163">
        <v>450</v>
      </c>
      <c r="H205" s="163">
        <v>675</v>
      </c>
    </row>
    <row r="206" spans="2:8" x14ac:dyDescent="0.25">
      <c r="B206" s="180"/>
      <c r="C206" s="191"/>
      <c r="D206" s="173" t="s">
        <v>19</v>
      </c>
      <c r="E206" s="163">
        <v>229.5</v>
      </c>
      <c r="F206" s="163">
        <v>229.5</v>
      </c>
      <c r="G206" s="163">
        <v>459.02</v>
      </c>
      <c r="H206" s="163">
        <v>688.52</v>
      </c>
    </row>
    <row r="207" spans="2:8" x14ac:dyDescent="0.25">
      <c r="B207" s="180"/>
      <c r="C207" s="191"/>
      <c r="D207" s="173" t="s">
        <v>20</v>
      </c>
      <c r="E207" s="163">
        <v>234.11</v>
      </c>
      <c r="F207" s="163">
        <v>234.11</v>
      </c>
      <c r="G207" s="163">
        <v>468.18</v>
      </c>
      <c r="H207" s="163">
        <v>702.29</v>
      </c>
    </row>
    <row r="208" spans="2:8" x14ac:dyDescent="0.25">
      <c r="B208" s="180"/>
      <c r="C208" s="191" t="s">
        <v>21</v>
      </c>
      <c r="D208" s="173" t="s">
        <v>15</v>
      </c>
      <c r="E208" s="163">
        <v>238.77</v>
      </c>
      <c r="F208" s="163">
        <v>238.77</v>
      </c>
      <c r="G208" s="163">
        <v>477.55</v>
      </c>
      <c r="H208" s="163">
        <v>716.32</v>
      </c>
    </row>
    <row r="209" spans="2:8" x14ac:dyDescent="0.25">
      <c r="B209" s="180"/>
      <c r="C209" s="191"/>
      <c r="D209" s="173" t="s">
        <v>16</v>
      </c>
      <c r="E209" s="163">
        <v>243.57</v>
      </c>
      <c r="F209" s="163">
        <v>243.57</v>
      </c>
      <c r="G209" s="163">
        <v>487.11</v>
      </c>
      <c r="H209" s="163">
        <v>730.67</v>
      </c>
    </row>
    <row r="210" spans="2:8" x14ac:dyDescent="0.25">
      <c r="B210" s="180"/>
      <c r="C210" s="191"/>
      <c r="D210" s="173" t="s">
        <v>17</v>
      </c>
      <c r="E210" s="163">
        <v>248.42</v>
      </c>
      <c r="F210" s="163">
        <v>248.42</v>
      </c>
      <c r="G210" s="163">
        <v>496.84</v>
      </c>
      <c r="H210" s="163">
        <v>745.25</v>
      </c>
    </row>
    <row r="211" spans="2:8" x14ac:dyDescent="0.25">
      <c r="B211" s="180"/>
      <c r="C211" s="191"/>
      <c r="D211" s="173" t="s">
        <v>18</v>
      </c>
      <c r="E211" s="163">
        <v>253.4</v>
      </c>
      <c r="F211" s="163">
        <v>253.4</v>
      </c>
      <c r="G211" s="163">
        <v>506.77</v>
      </c>
      <c r="H211" s="163">
        <v>760.18</v>
      </c>
    </row>
    <row r="212" spans="2:8" x14ac:dyDescent="0.25">
      <c r="B212" s="180"/>
      <c r="C212" s="191"/>
      <c r="D212" s="173" t="s">
        <v>19</v>
      </c>
      <c r="E212" s="163">
        <v>258.45999999999998</v>
      </c>
      <c r="F212" s="163">
        <v>258.45999999999998</v>
      </c>
      <c r="G212" s="163">
        <v>516.9</v>
      </c>
      <c r="H212" s="163">
        <v>775.35</v>
      </c>
    </row>
    <row r="213" spans="2:8" x14ac:dyDescent="0.25">
      <c r="B213" s="180"/>
      <c r="C213" s="191"/>
      <c r="D213" s="173" t="s">
        <v>20</v>
      </c>
      <c r="E213" s="163">
        <v>263.63</v>
      </c>
      <c r="F213" s="163">
        <v>263.63</v>
      </c>
      <c r="G213" s="163">
        <v>527.25</v>
      </c>
      <c r="H213" s="163">
        <v>790.88</v>
      </c>
    </row>
    <row r="214" spans="2:8" x14ac:dyDescent="0.25">
      <c r="B214" s="180"/>
      <c r="C214" s="179" t="s">
        <v>112</v>
      </c>
      <c r="D214" s="173" t="s">
        <v>15</v>
      </c>
      <c r="E214" s="163">
        <v>268.88</v>
      </c>
      <c r="F214" s="163">
        <v>268.88</v>
      </c>
      <c r="G214" s="163">
        <v>537.79</v>
      </c>
      <c r="H214" s="163">
        <v>806.67</v>
      </c>
    </row>
    <row r="215" spans="2:8" x14ac:dyDescent="0.25">
      <c r="B215" s="180"/>
      <c r="C215" s="179"/>
      <c r="D215" s="173" t="s">
        <v>16</v>
      </c>
      <c r="E215" s="163">
        <v>274.29000000000002</v>
      </c>
      <c r="F215" s="163">
        <v>274.29000000000002</v>
      </c>
      <c r="G215" s="163">
        <v>548.54999999999995</v>
      </c>
      <c r="H215" s="163">
        <v>822.84</v>
      </c>
    </row>
    <row r="216" spans="2:8" x14ac:dyDescent="0.25">
      <c r="B216" s="180"/>
      <c r="C216" s="179"/>
      <c r="D216" s="173" t="s">
        <v>17</v>
      </c>
      <c r="E216" s="163">
        <v>279.77</v>
      </c>
      <c r="F216" s="163">
        <v>279.77</v>
      </c>
      <c r="G216" s="163">
        <v>559.52</v>
      </c>
      <c r="H216" s="163">
        <v>839.29</v>
      </c>
    </row>
    <row r="217" spans="2:8" x14ac:dyDescent="0.25">
      <c r="B217" s="180"/>
      <c r="C217" s="179"/>
      <c r="D217" s="173" t="s">
        <v>18</v>
      </c>
      <c r="E217" s="163">
        <v>285.36</v>
      </c>
      <c r="F217" s="163">
        <v>285.36</v>
      </c>
      <c r="G217" s="163">
        <v>570.72</v>
      </c>
      <c r="H217" s="163">
        <v>856.1</v>
      </c>
    </row>
    <row r="218" spans="2:8" x14ac:dyDescent="0.25">
      <c r="B218" s="180"/>
      <c r="C218" s="179"/>
      <c r="D218" s="173" t="s">
        <v>19</v>
      </c>
      <c r="E218" s="163">
        <v>291.07</v>
      </c>
      <c r="F218" s="163">
        <v>291.07</v>
      </c>
      <c r="G218" s="163">
        <v>582.13</v>
      </c>
      <c r="H218" s="163">
        <v>873.21</v>
      </c>
    </row>
    <row r="219" spans="2:8" x14ac:dyDescent="0.25">
      <c r="B219" s="190"/>
      <c r="C219" s="187"/>
      <c r="D219" s="175" t="s">
        <v>20</v>
      </c>
      <c r="E219" s="163">
        <v>296.89</v>
      </c>
      <c r="F219" s="163">
        <v>296.89</v>
      </c>
      <c r="G219" s="163">
        <v>593.78</v>
      </c>
      <c r="H219" s="163">
        <v>890.67</v>
      </c>
    </row>
    <row r="220" spans="2:8" x14ac:dyDescent="0.25">
      <c r="B220" s="180" t="s">
        <v>115</v>
      </c>
      <c r="C220" s="181" t="s">
        <v>116</v>
      </c>
      <c r="D220" s="181" t="s">
        <v>117</v>
      </c>
      <c r="E220" s="182" t="s">
        <v>106</v>
      </c>
      <c r="F220" s="182"/>
      <c r="G220" s="182"/>
      <c r="H220" s="182"/>
    </row>
    <row r="221" spans="2:8" ht="30" x14ac:dyDescent="0.25">
      <c r="B221" s="180"/>
      <c r="C221" s="181"/>
      <c r="D221" s="181"/>
      <c r="E221" s="172" t="s">
        <v>118</v>
      </c>
      <c r="F221" s="172" t="s">
        <v>107</v>
      </c>
      <c r="G221" s="172" t="s">
        <v>108</v>
      </c>
      <c r="H221" s="172" t="s">
        <v>109</v>
      </c>
    </row>
    <row r="222" spans="2:8" ht="15" customHeight="1" x14ac:dyDescent="0.25">
      <c r="B222" s="184" t="s">
        <v>120</v>
      </c>
      <c r="C222" s="183" t="s">
        <v>14</v>
      </c>
      <c r="D222" s="173" t="s">
        <v>15</v>
      </c>
      <c r="E222" s="163">
        <v>256.2</v>
      </c>
      <c r="F222" s="163">
        <v>256.2</v>
      </c>
      <c r="G222" s="163">
        <v>512.41999999999996</v>
      </c>
      <c r="H222" s="163">
        <v>768.63</v>
      </c>
    </row>
    <row r="223" spans="2:8" x14ac:dyDescent="0.25">
      <c r="B223" s="185"/>
      <c r="C223" s="183"/>
      <c r="D223" s="173" t="s">
        <v>16</v>
      </c>
      <c r="E223" s="163">
        <v>261.35000000000002</v>
      </c>
      <c r="F223" s="163">
        <v>261.35000000000002</v>
      </c>
      <c r="G223" s="163">
        <v>522.67999999999995</v>
      </c>
      <c r="H223" s="163">
        <v>784.04</v>
      </c>
    </row>
    <row r="224" spans="2:8" x14ac:dyDescent="0.25">
      <c r="B224" s="185"/>
      <c r="C224" s="183"/>
      <c r="D224" s="173" t="s">
        <v>17</v>
      </c>
      <c r="E224" s="163">
        <v>266.56</v>
      </c>
      <c r="F224" s="163">
        <v>266.56</v>
      </c>
      <c r="G224" s="163">
        <v>533.14</v>
      </c>
      <c r="H224" s="163">
        <v>799.7</v>
      </c>
    </row>
    <row r="225" spans="2:8" x14ac:dyDescent="0.25">
      <c r="B225" s="185"/>
      <c r="C225" s="183"/>
      <c r="D225" s="173" t="s">
        <v>18</v>
      </c>
      <c r="E225" s="163">
        <v>271.89</v>
      </c>
      <c r="F225" s="163">
        <v>271.89</v>
      </c>
      <c r="G225" s="163">
        <v>543.77</v>
      </c>
      <c r="H225" s="163">
        <v>815.66</v>
      </c>
    </row>
    <row r="226" spans="2:8" x14ac:dyDescent="0.25">
      <c r="B226" s="185"/>
      <c r="C226" s="183"/>
      <c r="D226" s="173" t="s">
        <v>19</v>
      </c>
      <c r="E226" s="163">
        <v>277.33999999999997</v>
      </c>
      <c r="F226" s="163">
        <v>277.33999999999997</v>
      </c>
      <c r="G226" s="163">
        <v>554.65</v>
      </c>
      <c r="H226" s="163">
        <v>831.98</v>
      </c>
    </row>
    <row r="227" spans="2:8" x14ac:dyDescent="0.25">
      <c r="B227" s="185"/>
      <c r="C227" s="183"/>
      <c r="D227" s="173" t="s">
        <v>20</v>
      </c>
      <c r="E227" s="163">
        <v>282.87</v>
      </c>
      <c r="F227" s="163">
        <v>282.87</v>
      </c>
      <c r="G227" s="163">
        <v>565.76</v>
      </c>
      <c r="H227" s="163">
        <v>848.63</v>
      </c>
    </row>
    <row r="228" spans="2:8" x14ac:dyDescent="0.25">
      <c r="B228" s="185"/>
      <c r="C228" s="183" t="s">
        <v>21</v>
      </c>
      <c r="D228" s="173" t="s">
        <v>15</v>
      </c>
      <c r="E228" s="163">
        <v>288.54000000000002</v>
      </c>
      <c r="F228" s="163">
        <v>288.54000000000002</v>
      </c>
      <c r="G228" s="163">
        <v>577.05999999999995</v>
      </c>
      <c r="H228" s="163">
        <v>865.6</v>
      </c>
    </row>
    <row r="229" spans="2:8" x14ac:dyDescent="0.25">
      <c r="B229" s="185"/>
      <c r="C229" s="183"/>
      <c r="D229" s="173" t="s">
        <v>16</v>
      </c>
      <c r="E229" s="163">
        <v>294.32</v>
      </c>
      <c r="F229" s="163">
        <v>294.32</v>
      </c>
      <c r="G229" s="163">
        <v>588.61</v>
      </c>
      <c r="H229" s="163">
        <v>882.93</v>
      </c>
    </row>
    <row r="230" spans="2:8" x14ac:dyDescent="0.25">
      <c r="B230" s="185"/>
      <c r="C230" s="183"/>
      <c r="D230" s="173" t="s">
        <v>17</v>
      </c>
      <c r="E230" s="163">
        <v>300.18</v>
      </c>
      <c r="F230" s="163">
        <v>300.18</v>
      </c>
      <c r="G230" s="163">
        <v>600.39</v>
      </c>
      <c r="H230" s="163">
        <v>900.57</v>
      </c>
    </row>
    <row r="231" spans="2:8" x14ac:dyDescent="0.25">
      <c r="B231" s="185"/>
      <c r="C231" s="183"/>
      <c r="D231" s="173" t="s">
        <v>18</v>
      </c>
      <c r="E231" s="163">
        <v>306.2</v>
      </c>
      <c r="F231" s="163">
        <v>306.2</v>
      </c>
      <c r="G231" s="163">
        <v>612.4</v>
      </c>
      <c r="H231" s="163">
        <v>918.59</v>
      </c>
    </row>
    <row r="232" spans="2:8" x14ac:dyDescent="0.25">
      <c r="B232" s="185"/>
      <c r="C232" s="183"/>
      <c r="D232" s="173" t="s">
        <v>19</v>
      </c>
      <c r="E232" s="163">
        <v>312.31</v>
      </c>
      <c r="F232" s="163">
        <v>312.31</v>
      </c>
      <c r="G232" s="163">
        <v>624.63</v>
      </c>
      <c r="H232" s="163">
        <v>936.94</v>
      </c>
    </row>
    <row r="233" spans="2:8" x14ac:dyDescent="0.25">
      <c r="B233" s="185"/>
      <c r="C233" s="183"/>
      <c r="D233" s="173" t="s">
        <v>20</v>
      </c>
      <c r="E233" s="163">
        <v>318.57</v>
      </c>
      <c r="F233" s="163">
        <v>318.57</v>
      </c>
      <c r="G233" s="163">
        <v>637.11</v>
      </c>
      <c r="H233" s="163">
        <v>955.68</v>
      </c>
    </row>
    <row r="234" spans="2:8" x14ac:dyDescent="0.25">
      <c r="B234" s="185"/>
      <c r="C234" s="187" t="s">
        <v>112</v>
      </c>
      <c r="D234" s="173" t="s">
        <v>15</v>
      </c>
      <c r="E234" s="163">
        <v>324.94</v>
      </c>
      <c r="F234" s="163">
        <v>324.94</v>
      </c>
      <c r="G234" s="163">
        <v>649.88</v>
      </c>
      <c r="H234" s="163">
        <v>974.82</v>
      </c>
    </row>
    <row r="235" spans="2:8" x14ac:dyDescent="0.25">
      <c r="B235" s="185"/>
      <c r="C235" s="188"/>
      <c r="D235" s="173" t="s">
        <v>16</v>
      </c>
      <c r="E235" s="163">
        <v>331.43</v>
      </c>
      <c r="F235" s="163">
        <v>331.43</v>
      </c>
      <c r="G235" s="163">
        <v>662.87</v>
      </c>
      <c r="H235" s="163">
        <v>994.29</v>
      </c>
    </row>
    <row r="236" spans="2:8" x14ac:dyDescent="0.25">
      <c r="B236" s="185"/>
      <c r="C236" s="188"/>
      <c r="D236" s="173" t="s">
        <v>17</v>
      </c>
      <c r="E236" s="163">
        <v>338.06</v>
      </c>
      <c r="F236" s="163">
        <v>338.06</v>
      </c>
      <c r="G236" s="163">
        <v>676.13</v>
      </c>
      <c r="H236" s="163">
        <v>1014.2</v>
      </c>
    </row>
    <row r="237" spans="2:8" x14ac:dyDescent="0.25">
      <c r="B237" s="185"/>
      <c r="C237" s="188"/>
      <c r="D237" s="173" t="s">
        <v>18</v>
      </c>
      <c r="E237" s="163">
        <v>344.82</v>
      </c>
      <c r="F237" s="163">
        <v>344.82</v>
      </c>
      <c r="G237" s="163">
        <v>689.65</v>
      </c>
      <c r="H237" s="163">
        <v>1034.46</v>
      </c>
    </row>
    <row r="238" spans="2:8" x14ac:dyDescent="0.25">
      <c r="B238" s="185"/>
      <c r="C238" s="188"/>
      <c r="D238" s="173" t="s">
        <v>19</v>
      </c>
      <c r="E238" s="163">
        <v>351.72</v>
      </c>
      <c r="F238" s="163">
        <v>351.72</v>
      </c>
      <c r="G238" s="163">
        <v>703.44</v>
      </c>
      <c r="H238" s="163">
        <v>1055.1600000000001</v>
      </c>
    </row>
    <row r="239" spans="2:8" x14ac:dyDescent="0.25">
      <c r="B239" s="186"/>
      <c r="C239" s="189"/>
      <c r="D239" s="173" t="s">
        <v>20</v>
      </c>
      <c r="E239" s="163">
        <v>358.82</v>
      </c>
      <c r="F239" s="163">
        <v>358.82</v>
      </c>
      <c r="G239" s="163">
        <v>717.51</v>
      </c>
      <c r="H239" s="163">
        <v>1076.26</v>
      </c>
    </row>
    <row r="241" spans="2:8" x14ac:dyDescent="0.25">
      <c r="B241" s="180" t="s">
        <v>115</v>
      </c>
      <c r="C241" s="181" t="s">
        <v>116</v>
      </c>
      <c r="D241" s="181" t="s">
        <v>117</v>
      </c>
      <c r="E241" s="182" t="s">
        <v>106</v>
      </c>
      <c r="F241" s="182"/>
      <c r="G241" s="182"/>
      <c r="H241" s="182"/>
    </row>
    <row r="242" spans="2:8" ht="30" x14ac:dyDescent="0.25">
      <c r="B242" s="180"/>
      <c r="C242" s="181"/>
      <c r="D242" s="181"/>
      <c r="E242" s="172" t="s">
        <v>118</v>
      </c>
      <c r="F242" s="172" t="s">
        <v>107</v>
      </c>
      <c r="G242" s="172" t="s">
        <v>108</v>
      </c>
      <c r="H242" s="172" t="s">
        <v>109</v>
      </c>
    </row>
    <row r="243" spans="2:8" x14ac:dyDescent="0.25">
      <c r="B243" s="183" t="s">
        <v>669</v>
      </c>
      <c r="C243" s="179" t="s">
        <v>14</v>
      </c>
      <c r="D243" s="173" t="s">
        <v>15</v>
      </c>
      <c r="E243" s="163">
        <v>174.62</v>
      </c>
      <c r="F243" s="163">
        <v>174.62</v>
      </c>
      <c r="G243" s="163">
        <v>349.22</v>
      </c>
      <c r="H243" s="163">
        <v>523.83000000000004</v>
      </c>
    </row>
    <row r="244" spans="2:8" x14ac:dyDescent="0.25">
      <c r="B244" s="183"/>
      <c r="C244" s="179"/>
      <c r="D244" s="173" t="s">
        <v>16</v>
      </c>
      <c r="E244" s="163">
        <v>178.1</v>
      </c>
      <c r="F244" s="163">
        <v>178.1</v>
      </c>
      <c r="G244" s="163">
        <v>356.2</v>
      </c>
      <c r="H244" s="163">
        <v>534.29</v>
      </c>
    </row>
    <row r="245" spans="2:8" x14ac:dyDescent="0.25">
      <c r="B245" s="183"/>
      <c r="C245" s="179"/>
      <c r="D245" s="173" t="s">
        <v>17</v>
      </c>
      <c r="E245" s="163">
        <v>181.66</v>
      </c>
      <c r="F245" s="163">
        <v>181.66</v>
      </c>
      <c r="G245" s="163">
        <v>363.32</v>
      </c>
      <c r="H245" s="163">
        <v>544.98</v>
      </c>
    </row>
    <row r="246" spans="2:8" x14ac:dyDescent="0.25">
      <c r="B246" s="183"/>
      <c r="C246" s="179"/>
      <c r="D246" s="173" t="s">
        <v>18</v>
      </c>
      <c r="E246" s="163">
        <v>185.29</v>
      </c>
      <c r="F246" s="163">
        <v>185.29</v>
      </c>
      <c r="G246" s="163">
        <v>370.58</v>
      </c>
      <c r="H246" s="163">
        <v>555.88</v>
      </c>
    </row>
    <row r="247" spans="2:8" x14ac:dyDescent="0.25">
      <c r="B247" s="183"/>
      <c r="C247" s="179"/>
      <c r="D247" s="173" t="s">
        <v>19</v>
      </c>
      <c r="E247" s="163">
        <v>188.99</v>
      </c>
      <c r="F247" s="163">
        <v>188.99</v>
      </c>
      <c r="G247" s="163">
        <v>377.99</v>
      </c>
      <c r="H247" s="163">
        <v>566.99</v>
      </c>
    </row>
    <row r="248" spans="2:8" x14ac:dyDescent="0.25">
      <c r="B248" s="183"/>
      <c r="C248" s="179"/>
      <c r="D248" s="173" t="s">
        <v>20</v>
      </c>
      <c r="E248" s="163">
        <v>192.78</v>
      </c>
      <c r="F248" s="163">
        <v>192.78</v>
      </c>
      <c r="G248" s="163">
        <v>385.57</v>
      </c>
      <c r="H248" s="163">
        <v>578.36</v>
      </c>
    </row>
    <row r="249" spans="2:8" x14ac:dyDescent="0.25">
      <c r="B249" s="183"/>
      <c r="C249" s="179" t="s">
        <v>21</v>
      </c>
      <c r="D249" s="173" t="s">
        <v>15</v>
      </c>
      <c r="E249" s="163">
        <v>196.63</v>
      </c>
      <c r="F249" s="163">
        <v>196.63</v>
      </c>
      <c r="G249" s="163">
        <v>393.27</v>
      </c>
      <c r="H249" s="163">
        <v>589.89</v>
      </c>
    </row>
    <row r="250" spans="2:8" x14ac:dyDescent="0.25">
      <c r="B250" s="183"/>
      <c r="C250" s="179"/>
      <c r="D250" s="173" t="s">
        <v>16</v>
      </c>
      <c r="E250" s="163">
        <v>200.56</v>
      </c>
      <c r="F250" s="163">
        <v>200.56</v>
      </c>
      <c r="G250" s="163">
        <v>401.13</v>
      </c>
      <c r="H250" s="163">
        <v>601.69000000000005</v>
      </c>
    </row>
    <row r="251" spans="2:8" x14ac:dyDescent="0.25">
      <c r="B251" s="183"/>
      <c r="C251" s="179"/>
      <c r="D251" s="173" t="s">
        <v>17</v>
      </c>
      <c r="E251" s="163">
        <v>204.58</v>
      </c>
      <c r="F251" s="163">
        <v>204.58</v>
      </c>
      <c r="G251" s="163">
        <v>409.16</v>
      </c>
      <c r="H251" s="163">
        <v>613.74</v>
      </c>
    </row>
    <row r="252" spans="2:8" x14ac:dyDescent="0.25">
      <c r="B252" s="183"/>
      <c r="C252" s="179"/>
      <c r="D252" s="173" t="s">
        <v>18</v>
      </c>
      <c r="E252" s="163">
        <v>208.67</v>
      </c>
      <c r="F252" s="163">
        <v>208.67</v>
      </c>
      <c r="G252" s="163">
        <v>417.33</v>
      </c>
      <c r="H252" s="163">
        <v>626</v>
      </c>
    </row>
    <row r="253" spans="2:8" x14ac:dyDescent="0.25">
      <c r="B253" s="183"/>
      <c r="C253" s="179"/>
      <c r="D253" s="173" t="s">
        <v>387</v>
      </c>
      <c r="E253" s="163">
        <v>212.85</v>
      </c>
      <c r="F253" s="163">
        <v>212.85</v>
      </c>
      <c r="G253" s="163">
        <v>425.69</v>
      </c>
      <c r="H253" s="163">
        <v>638.53</v>
      </c>
    </row>
    <row r="254" spans="2:8" x14ac:dyDescent="0.25">
      <c r="B254" s="183"/>
      <c r="C254" s="179"/>
      <c r="D254" s="173" t="s">
        <v>20</v>
      </c>
      <c r="E254" s="163">
        <v>217.11</v>
      </c>
      <c r="F254" s="163">
        <v>217.11</v>
      </c>
      <c r="G254" s="163">
        <v>434.21</v>
      </c>
      <c r="H254" s="163">
        <v>651.32000000000005</v>
      </c>
    </row>
    <row r="255" spans="2:8" x14ac:dyDescent="0.25">
      <c r="B255" s="183"/>
      <c r="C255" s="179" t="s">
        <v>112</v>
      </c>
      <c r="D255" s="173" t="s">
        <v>15</v>
      </c>
      <c r="E255" s="163">
        <v>221.43</v>
      </c>
      <c r="F255" s="163">
        <v>221.43</v>
      </c>
      <c r="G255" s="163">
        <v>442.89</v>
      </c>
      <c r="H255" s="163">
        <v>664.32</v>
      </c>
    </row>
    <row r="256" spans="2:8" x14ac:dyDescent="0.25">
      <c r="B256" s="183"/>
      <c r="C256" s="179"/>
      <c r="D256" s="173" t="s">
        <v>16</v>
      </c>
      <c r="E256" s="163">
        <v>225.88</v>
      </c>
      <c r="F256" s="163">
        <v>225.88</v>
      </c>
      <c r="G256" s="163">
        <v>451.74</v>
      </c>
      <c r="H256" s="163">
        <v>677.63</v>
      </c>
    </row>
    <row r="257" spans="2:8" x14ac:dyDescent="0.25">
      <c r="B257" s="183"/>
      <c r="C257" s="179"/>
      <c r="D257" s="173" t="s">
        <v>17</v>
      </c>
      <c r="E257" s="163">
        <v>230.39</v>
      </c>
      <c r="F257" s="163">
        <v>230.39</v>
      </c>
      <c r="G257" s="163">
        <v>460.78</v>
      </c>
      <c r="H257" s="163">
        <v>691.17</v>
      </c>
    </row>
    <row r="258" spans="2:8" x14ac:dyDescent="0.25">
      <c r="B258" s="183"/>
      <c r="C258" s="179"/>
      <c r="D258" s="173" t="s">
        <v>18</v>
      </c>
      <c r="E258" s="163">
        <v>234.99</v>
      </c>
      <c r="F258" s="163">
        <v>234.99</v>
      </c>
      <c r="G258" s="163">
        <v>470.01</v>
      </c>
      <c r="H258" s="163">
        <v>704.99</v>
      </c>
    </row>
    <row r="259" spans="2:8" x14ac:dyDescent="0.25">
      <c r="B259" s="183"/>
      <c r="C259" s="179"/>
      <c r="D259" s="173" t="s">
        <v>19</v>
      </c>
      <c r="E259" s="163">
        <v>239.68</v>
      </c>
      <c r="F259" s="163">
        <v>239.68</v>
      </c>
      <c r="G259" s="163">
        <v>479.38</v>
      </c>
      <c r="H259" s="163">
        <v>719.08</v>
      </c>
    </row>
    <row r="260" spans="2:8" x14ac:dyDescent="0.25">
      <c r="B260" s="183"/>
      <c r="C260" s="179"/>
      <c r="D260" s="173" t="s">
        <v>20</v>
      </c>
      <c r="E260" s="163">
        <v>244.48</v>
      </c>
      <c r="F260" s="163">
        <v>244.48</v>
      </c>
      <c r="G260" s="163">
        <v>488.99</v>
      </c>
      <c r="H260" s="163">
        <v>733.47</v>
      </c>
    </row>
    <row r="263" spans="2:8" x14ac:dyDescent="0.25">
      <c r="B263" t="s">
        <v>122</v>
      </c>
    </row>
    <row r="264" spans="2:8" x14ac:dyDescent="0.25">
      <c r="B264" s="179" t="s">
        <v>123</v>
      </c>
      <c r="C264" s="179"/>
      <c r="D264" s="179"/>
      <c r="E264" s="179"/>
      <c r="F264" s="179"/>
      <c r="G264" s="179"/>
      <c r="H264" s="179"/>
    </row>
    <row r="265" spans="2:8" x14ac:dyDescent="0.25">
      <c r="B265" s="180" t="s">
        <v>115</v>
      </c>
      <c r="C265" s="181" t="s">
        <v>116</v>
      </c>
      <c r="D265" s="181" t="s">
        <v>117</v>
      </c>
      <c r="E265" s="182" t="s">
        <v>106</v>
      </c>
      <c r="F265" s="182"/>
      <c r="G265" s="182"/>
      <c r="H265" s="182"/>
    </row>
    <row r="266" spans="2:8" ht="30" x14ac:dyDescent="0.25">
      <c r="B266" s="180"/>
      <c r="C266" s="181"/>
      <c r="D266" s="181"/>
      <c r="E266" s="172" t="s">
        <v>118</v>
      </c>
      <c r="F266" s="172" t="s">
        <v>107</v>
      </c>
      <c r="G266" s="172" t="s">
        <v>108</v>
      </c>
      <c r="H266" s="172" t="s">
        <v>109</v>
      </c>
    </row>
    <row r="267" spans="2:8" x14ac:dyDescent="0.25">
      <c r="B267" s="183" t="s">
        <v>124</v>
      </c>
      <c r="C267" s="179" t="s">
        <v>14</v>
      </c>
      <c r="D267" s="171" t="s">
        <v>15</v>
      </c>
      <c r="E267" s="163">
        <v>147.88</v>
      </c>
      <c r="F267" s="163">
        <v>147.88</v>
      </c>
      <c r="G267" s="163">
        <v>295.77</v>
      </c>
      <c r="H267" s="163">
        <v>443.67</v>
      </c>
    </row>
    <row r="268" spans="2:8" x14ac:dyDescent="0.25">
      <c r="B268" s="183"/>
      <c r="C268" s="179"/>
      <c r="D268" s="171" t="s">
        <v>16</v>
      </c>
      <c r="E268" s="163">
        <v>150.84</v>
      </c>
      <c r="F268" s="163">
        <v>150.84</v>
      </c>
      <c r="G268" s="163">
        <v>301.68</v>
      </c>
      <c r="H268" s="163">
        <v>452.53</v>
      </c>
    </row>
    <row r="269" spans="2:8" x14ac:dyDescent="0.25">
      <c r="B269" s="183"/>
      <c r="C269" s="179"/>
      <c r="D269" s="171" t="s">
        <v>17</v>
      </c>
      <c r="E269" s="163">
        <v>153.86000000000001</v>
      </c>
      <c r="F269" s="163">
        <v>153.86000000000001</v>
      </c>
      <c r="G269" s="163">
        <v>307.74</v>
      </c>
      <c r="H269" s="163">
        <v>461.59</v>
      </c>
    </row>
    <row r="270" spans="2:8" x14ac:dyDescent="0.25">
      <c r="B270" s="183"/>
      <c r="C270" s="179"/>
      <c r="D270" s="171" t="s">
        <v>18</v>
      </c>
      <c r="E270" s="163">
        <v>156.94999999999999</v>
      </c>
      <c r="F270" s="163">
        <v>156.94999999999999</v>
      </c>
      <c r="G270" s="163">
        <v>313.89</v>
      </c>
      <c r="H270" s="163">
        <v>470.83</v>
      </c>
    </row>
    <row r="271" spans="2:8" x14ac:dyDescent="0.25">
      <c r="B271" s="183"/>
      <c r="C271" s="179"/>
      <c r="D271" s="171" t="s">
        <v>19</v>
      </c>
      <c r="E271" s="163">
        <v>160.07</v>
      </c>
      <c r="F271" s="163">
        <v>160.07</v>
      </c>
      <c r="G271" s="163">
        <v>320.14999999999998</v>
      </c>
      <c r="H271" s="163">
        <v>480.22</v>
      </c>
    </row>
    <row r="272" spans="2:8" x14ac:dyDescent="0.25">
      <c r="B272" s="183"/>
      <c r="C272" s="179"/>
      <c r="D272" s="171" t="s">
        <v>20</v>
      </c>
      <c r="E272" s="163">
        <v>163.29</v>
      </c>
      <c r="F272" s="163">
        <v>163.29</v>
      </c>
      <c r="G272" s="163">
        <v>326.57</v>
      </c>
      <c r="H272" s="163">
        <v>489.86</v>
      </c>
    </row>
    <row r="273" spans="2:9" x14ac:dyDescent="0.25">
      <c r="B273" s="183"/>
      <c r="C273" s="183" t="s">
        <v>21</v>
      </c>
      <c r="D273" s="171" t="s">
        <v>15</v>
      </c>
      <c r="E273" s="163">
        <v>166.54</v>
      </c>
      <c r="F273" s="163">
        <v>166.54</v>
      </c>
      <c r="G273" s="163">
        <v>333.09</v>
      </c>
      <c r="H273" s="163">
        <v>499.64</v>
      </c>
    </row>
    <row r="274" spans="2:9" x14ac:dyDescent="0.25">
      <c r="B274" s="183"/>
      <c r="C274" s="183"/>
      <c r="D274" s="171" t="s">
        <v>16</v>
      </c>
      <c r="E274" s="163">
        <v>169.87</v>
      </c>
      <c r="F274" s="163">
        <v>169.87</v>
      </c>
      <c r="G274" s="163">
        <v>339.76</v>
      </c>
      <c r="H274" s="163">
        <v>509.63</v>
      </c>
    </row>
    <row r="275" spans="2:9" x14ac:dyDescent="0.25">
      <c r="B275" s="183"/>
      <c r="C275" s="183"/>
      <c r="D275" s="171" t="s">
        <v>17</v>
      </c>
      <c r="E275" s="163">
        <v>173.27</v>
      </c>
      <c r="F275" s="163">
        <v>173.27</v>
      </c>
      <c r="G275" s="163">
        <v>346.53</v>
      </c>
      <c r="H275" s="163">
        <v>519.79</v>
      </c>
    </row>
    <row r="276" spans="2:9" x14ac:dyDescent="0.25">
      <c r="B276" s="183"/>
      <c r="C276" s="183"/>
      <c r="D276" s="171" t="s">
        <v>18</v>
      </c>
      <c r="E276" s="163">
        <v>176.75</v>
      </c>
      <c r="F276" s="163">
        <v>176.75</v>
      </c>
      <c r="G276" s="163">
        <v>353.48</v>
      </c>
      <c r="H276" s="163">
        <v>530.23</v>
      </c>
    </row>
    <row r="277" spans="2:9" x14ac:dyDescent="0.25">
      <c r="B277" s="183"/>
      <c r="C277" s="183"/>
      <c r="D277" s="171" t="s">
        <v>19</v>
      </c>
      <c r="E277" s="163">
        <v>180.29</v>
      </c>
      <c r="F277" s="163">
        <v>180.29</v>
      </c>
      <c r="G277" s="163">
        <v>360.55</v>
      </c>
      <c r="H277" s="163">
        <v>540.83000000000004</v>
      </c>
    </row>
    <row r="278" spans="2:9" x14ac:dyDescent="0.25">
      <c r="B278" s="183"/>
      <c r="C278" s="183"/>
      <c r="D278" s="171" t="s">
        <v>20</v>
      </c>
      <c r="E278" s="163">
        <v>183.89</v>
      </c>
      <c r="F278" s="163">
        <v>183.89</v>
      </c>
      <c r="G278" s="163">
        <v>367.75</v>
      </c>
      <c r="H278" s="163">
        <v>551.65</v>
      </c>
    </row>
    <row r="279" spans="2:9" x14ac:dyDescent="0.25">
      <c r="B279" s="183"/>
      <c r="C279" s="179" t="s">
        <v>112</v>
      </c>
      <c r="D279" s="171" t="s">
        <v>15</v>
      </c>
      <c r="E279" s="163">
        <v>187.56</v>
      </c>
      <c r="F279" s="163">
        <v>187.56</v>
      </c>
      <c r="G279" s="163">
        <v>375.12</v>
      </c>
      <c r="H279" s="163">
        <v>562.67999999999995</v>
      </c>
    </row>
    <row r="280" spans="2:9" x14ac:dyDescent="0.25">
      <c r="B280" s="183"/>
      <c r="C280" s="179"/>
      <c r="D280" s="171" t="s">
        <v>16</v>
      </c>
      <c r="E280" s="163">
        <v>191.31</v>
      </c>
      <c r="F280" s="163">
        <v>191.31</v>
      </c>
      <c r="G280" s="163">
        <v>382.62</v>
      </c>
      <c r="H280" s="163">
        <v>573.92999999999995</v>
      </c>
    </row>
    <row r="281" spans="2:9" x14ac:dyDescent="0.25">
      <c r="B281" s="183"/>
      <c r="C281" s="179"/>
      <c r="D281" s="171" t="s">
        <v>17</v>
      </c>
      <c r="E281" s="163">
        <v>195.13</v>
      </c>
      <c r="F281" s="163">
        <v>195.13</v>
      </c>
      <c r="G281" s="163">
        <v>390.27</v>
      </c>
      <c r="H281" s="163">
        <v>585.41999999999996</v>
      </c>
    </row>
    <row r="282" spans="2:9" x14ac:dyDescent="0.25">
      <c r="B282" s="183"/>
      <c r="C282" s="179"/>
      <c r="D282" s="171" t="s">
        <v>18</v>
      </c>
      <c r="E282" s="163">
        <v>199.03</v>
      </c>
      <c r="F282" s="163">
        <v>199.03</v>
      </c>
      <c r="G282" s="163">
        <v>398.06</v>
      </c>
      <c r="H282" s="163">
        <v>597.09</v>
      </c>
    </row>
    <row r="283" spans="2:9" x14ac:dyDescent="0.25">
      <c r="B283" s="183"/>
      <c r="C283" s="179"/>
      <c r="D283" s="171" t="s">
        <v>19</v>
      </c>
      <c r="E283" s="163">
        <v>203.02</v>
      </c>
      <c r="F283" s="163">
        <v>203.02</v>
      </c>
      <c r="G283" s="163">
        <v>406.01</v>
      </c>
      <c r="H283" s="163">
        <v>609.03</v>
      </c>
    </row>
    <row r="284" spans="2:9" x14ac:dyDescent="0.25">
      <c r="B284" s="183"/>
      <c r="C284" s="179"/>
      <c r="D284" s="171" t="s">
        <v>20</v>
      </c>
      <c r="E284" s="163">
        <v>207.06</v>
      </c>
      <c r="F284" s="163">
        <v>207.06</v>
      </c>
      <c r="G284" s="163">
        <v>414.15</v>
      </c>
      <c r="H284" s="163">
        <v>621.20000000000005</v>
      </c>
    </row>
    <row r="288" spans="2:9" ht="21" x14ac:dyDescent="0.35">
      <c r="B288" s="178" t="s">
        <v>629</v>
      </c>
      <c r="C288" s="178"/>
      <c r="D288" s="178"/>
      <c r="E288" s="178"/>
      <c r="F288" s="178"/>
      <c r="G288" s="178"/>
      <c r="H288" s="178"/>
      <c r="I288" s="178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144">
        <v>3892.2</v>
      </c>
      <c r="D294" s="144">
        <v>1946.1</v>
      </c>
      <c r="E294" s="177"/>
      <c r="F294" s="177"/>
      <c r="J294" s="15"/>
      <c r="K294" s="15"/>
      <c r="L294" s="15"/>
    </row>
    <row r="295" spans="2:12" x14ac:dyDescent="0.25">
      <c r="B295" s="2" t="s">
        <v>39</v>
      </c>
      <c r="C295" s="144">
        <v>6292.08</v>
      </c>
      <c r="D295" s="144">
        <v>3146.04</v>
      </c>
      <c r="E295" s="177"/>
      <c r="F295" s="177"/>
      <c r="J295" s="15"/>
      <c r="K295" s="15"/>
      <c r="L295" s="15"/>
    </row>
    <row r="296" spans="2:12" x14ac:dyDescent="0.25">
      <c r="B296" s="2" t="s">
        <v>40</v>
      </c>
      <c r="C296" s="144">
        <v>7819.3</v>
      </c>
      <c r="D296" s="144">
        <v>3909.65</v>
      </c>
      <c r="E296" s="177"/>
      <c r="F296" s="177"/>
      <c r="J296" s="15"/>
      <c r="K296" s="15"/>
      <c r="L296" s="15"/>
    </row>
    <row r="297" spans="2:12" x14ac:dyDescent="0.25">
      <c r="B297" s="2" t="s">
        <v>41</v>
      </c>
      <c r="C297" s="144">
        <v>8910.15</v>
      </c>
      <c r="D297" s="168">
        <v>4455.0749999999998</v>
      </c>
      <c r="E297" s="177"/>
      <c r="F297" s="177"/>
      <c r="J297" s="15"/>
      <c r="K297" s="15"/>
      <c r="L297" s="15"/>
    </row>
    <row r="298" spans="2:12" x14ac:dyDescent="0.25">
      <c r="B298" s="2" t="s">
        <v>42</v>
      </c>
      <c r="C298" s="144">
        <v>13273.58</v>
      </c>
      <c r="D298" s="168">
        <v>6636.79</v>
      </c>
      <c r="E298" s="177"/>
      <c r="F298" s="177"/>
      <c r="J298" s="15"/>
      <c r="K298" s="15"/>
      <c r="L298" s="15"/>
    </row>
    <row r="299" spans="2:12" x14ac:dyDescent="0.25">
      <c r="B299" s="2" t="s">
        <v>43</v>
      </c>
      <c r="C299" s="144">
        <v>17000.830000000002</v>
      </c>
      <c r="D299" s="168">
        <v>8500.4150000000009</v>
      </c>
      <c r="E299" s="177"/>
      <c r="F299" s="177"/>
      <c r="J299" s="15"/>
      <c r="K299" s="15"/>
      <c r="L299" s="15"/>
    </row>
    <row r="300" spans="2:12" x14ac:dyDescent="0.25">
      <c r="B300" s="2" t="s">
        <v>44</v>
      </c>
      <c r="C300" s="144">
        <v>20130.72</v>
      </c>
      <c r="D300" s="168">
        <v>10065.36</v>
      </c>
      <c r="E300" s="177"/>
      <c r="F300" s="177"/>
      <c r="J300" s="15"/>
      <c r="K300" s="15"/>
      <c r="L300" s="15"/>
    </row>
    <row r="301" spans="2:12" x14ac:dyDescent="0.25">
      <c r="B301" s="2" t="s">
        <v>45</v>
      </c>
      <c r="C301" s="144">
        <v>28156.53</v>
      </c>
      <c r="D301" s="168">
        <v>14078.264999999999</v>
      </c>
      <c r="E301" s="177"/>
      <c r="F301" s="177"/>
      <c r="J301" s="15"/>
      <c r="K301" s="15"/>
      <c r="L301" s="15"/>
    </row>
    <row r="302" spans="2:12" x14ac:dyDescent="0.25">
      <c r="B302" s="2" t="s">
        <v>605</v>
      </c>
      <c r="C302" s="144">
        <v>30463.4</v>
      </c>
      <c r="D302" s="168">
        <v>15231.7</v>
      </c>
      <c r="E302" s="177"/>
      <c r="F302" s="177"/>
      <c r="J302" s="15"/>
      <c r="K302" s="15"/>
      <c r="L302" s="15"/>
    </row>
  </sheetData>
  <mergeCells count="156">
    <mergeCell ref="B12:D12"/>
    <mergeCell ref="B14:B15"/>
    <mergeCell ref="C14:E14"/>
    <mergeCell ref="C15:E15"/>
    <mergeCell ref="B16:D16"/>
    <mergeCell ref="B18:C18"/>
    <mergeCell ref="B2:I2"/>
    <mergeCell ref="B5:C5"/>
    <mergeCell ref="B6:C6"/>
    <mergeCell ref="B7:C7"/>
    <mergeCell ref="B10:B11"/>
    <mergeCell ref="C10:E10"/>
    <mergeCell ref="C11:E11"/>
    <mergeCell ref="B33:B38"/>
    <mergeCell ref="B39:B44"/>
    <mergeCell ref="B45:B50"/>
    <mergeCell ref="B52:I52"/>
    <mergeCell ref="B54:I54"/>
    <mergeCell ref="B55:C56"/>
    <mergeCell ref="F55:G55"/>
    <mergeCell ref="H55:I55"/>
    <mergeCell ref="B19:C19"/>
    <mergeCell ref="B24:I24"/>
    <mergeCell ref="B27:I27"/>
    <mergeCell ref="B29:I29"/>
    <mergeCell ref="B30:C31"/>
    <mergeCell ref="D30:F30"/>
    <mergeCell ref="G30:H30"/>
    <mergeCell ref="B83:B88"/>
    <mergeCell ref="B89:B94"/>
    <mergeCell ref="B95:B100"/>
    <mergeCell ref="B103:G103"/>
    <mergeCell ref="B105:F105"/>
    <mergeCell ref="B106:C107"/>
    <mergeCell ref="D106:F106"/>
    <mergeCell ref="B58:B63"/>
    <mergeCell ref="B64:B69"/>
    <mergeCell ref="B70:B75"/>
    <mergeCell ref="B77:I77"/>
    <mergeCell ref="B79:G79"/>
    <mergeCell ref="B80:C81"/>
    <mergeCell ref="F80:G80"/>
    <mergeCell ref="B135:C135"/>
    <mergeCell ref="D135:G135"/>
    <mergeCell ref="H135:J135"/>
    <mergeCell ref="K135:N135"/>
    <mergeCell ref="B136:C136"/>
    <mergeCell ref="D136:G136"/>
    <mergeCell ref="H136:J136"/>
    <mergeCell ref="K136:N136"/>
    <mergeCell ref="B109:B114"/>
    <mergeCell ref="B115:B120"/>
    <mergeCell ref="B121:B126"/>
    <mergeCell ref="B130:N130"/>
    <mergeCell ref="B134:C134"/>
    <mergeCell ref="D134:G134"/>
    <mergeCell ref="H134:J134"/>
    <mergeCell ref="K134:N134"/>
    <mergeCell ref="B139:C139"/>
    <mergeCell ref="D139:G139"/>
    <mergeCell ref="H139:J139"/>
    <mergeCell ref="K139:N139"/>
    <mergeCell ref="B140:C140"/>
    <mergeCell ref="D140:G140"/>
    <mergeCell ref="H140:J140"/>
    <mergeCell ref="K140:N140"/>
    <mergeCell ref="B137:C137"/>
    <mergeCell ref="D137:G137"/>
    <mergeCell ref="H137:J137"/>
    <mergeCell ref="K137:N137"/>
    <mergeCell ref="B138:C138"/>
    <mergeCell ref="D138:G138"/>
    <mergeCell ref="H138:J138"/>
    <mergeCell ref="K138:N138"/>
    <mergeCell ref="B143:C143"/>
    <mergeCell ref="D143:G143"/>
    <mergeCell ref="H143:J143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K147:N147"/>
    <mergeCell ref="B148:C148"/>
    <mergeCell ref="D148:G148"/>
    <mergeCell ref="H148:J148"/>
    <mergeCell ref="K148:N148"/>
    <mergeCell ref="B145:C145"/>
    <mergeCell ref="D145:G145"/>
    <mergeCell ref="H145:J145"/>
    <mergeCell ref="K145:N145"/>
    <mergeCell ref="B146:C146"/>
    <mergeCell ref="D146:G146"/>
    <mergeCell ref="H146:J146"/>
    <mergeCell ref="K146:N146"/>
    <mergeCell ref="B153:I153"/>
    <mergeCell ref="B159:C160"/>
    <mergeCell ref="B161:C161"/>
    <mergeCell ref="B162:C162"/>
    <mergeCell ref="B163:C163"/>
    <mergeCell ref="B164:C164"/>
    <mergeCell ref="B147:C147"/>
    <mergeCell ref="D147:G147"/>
    <mergeCell ref="H147:J147"/>
    <mergeCell ref="B165:C165"/>
    <mergeCell ref="B166:C166"/>
    <mergeCell ref="B167:C167"/>
    <mergeCell ref="B168:C168"/>
    <mergeCell ref="E174:G174"/>
    <mergeCell ref="B176:B193"/>
    <mergeCell ref="C176:C181"/>
    <mergeCell ref="C182:C187"/>
    <mergeCell ref="C188:C193"/>
    <mergeCell ref="B199:H199"/>
    <mergeCell ref="B200:B201"/>
    <mergeCell ref="C200:C201"/>
    <mergeCell ref="D200:D201"/>
    <mergeCell ref="E200:H200"/>
    <mergeCell ref="B202:B219"/>
    <mergeCell ref="C202:C207"/>
    <mergeCell ref="C208:C213"/>
    <mergeCell ref="C214:C219"/>
    <mergeCell ref="B241:B242"/>
    <mergeCell ref="C241:C242"/>
    <mergeCell ref="D241:D242"/>
    <mergeCell ref="E241:H241"/>
    <mergeCell ref="B243:B260"/>
    <mergeCell ref="C243:C248"/>
    <mergeCell ref="C249:C254"/>
    <mergeCell ref="C255:C260"/>
    <mergeCell ref="B220:B221"/>
    <mergeCell ref="C220:C221"/>
    <mergeCell ref="D220:D221"/>
    <mergeCell ref="E220:H220"/>
    <mergeCell ref="B222:B239"/>
    <mergeCell ref="C222:C227"/>
    <mergeCell ref="C228:C233"/>
    <mergeCell ref="C234:C239"/>
    <mergeCell ref="B288:I288"/>
    <mergeCell ref="B264:H264"/>
    <mergeCell ref="B265:B266"/>
    <mergeCell ref="C265:C266"/>
    <mergeCell ref="D265:D266"/>
    <mergeCell ref="E265:H265"/>
    <mergeCell ref="B267:B284"/>
    <mergeCell ref="C267:C272"/>
    <mergeCell ref="C273:C278"/>
    <mergeCell ref="C279:C2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workbookViewId="0">
      <selection activeCell="G12" sqref="G12"/>
    </sheetView>
  </sheetViews>
  <sheetFormatPr defaultRowHeight="15" x14ac:dyDescent="0.25"/>
  <cols>
    <col min="1" max="1" width="6" style="17" customWidth="1"/>
    <col min="2" max="2" width="32.42578125" style="17" customWidth="1"/>
    <col min="3" max="3" width="54" style="17" customWidth="1"/>
    <col min="4" max="4" width="8.140625" style="17" customWidth="1"/>
    <col min="5" max="5" width="6.7109375" style="17" customWidth="1"/>
    <col min="6" max="6" width="25.7109375" style="17" customWidth="1"/>
    <col min="7" max="7" width="29.7109375" style="17" customWidth="1"/>
    <col min="8" max="16384" width="9.140625" style="17"/>
  </cols>
  <sheetData>
    <row r="1" spans="1:7" x14ac:dyDescent="0.25">
      <c r="A1" s="251" t="s">
        <v>139</v>
      </c>
      <c r="B1" s="252"/>
      <c r="C1" s="252"/>
      <c r="D1" s="252"/>
      <c r="E1" s="252"/>
      <c r="F1" s="252"/>
      <c r="G1" s="252"/>
    </row>
    <row r="2" spans="1:7" x14ac:dyDescent="0.25">
      <c r="A2" s="18" t="s">
        <v>140</v>
      </c>
      <c r="B2" s="18" t="s">
        <v>141</v>
      </c>
      <c r="C2" s="18" t="s">
        <v>142</v>
      </c>
      <c r="D2" s="18" t="s">
        <v>104</v>
      </c>
      <c r="E2" s="18" t="s">
        <v>143</v>
      </c>
      <c r="F2" s="18" t="s">
        <v>144</v>
      </c>
      <c r="G2" s="18" t="s">
        <v>129</v>
      </c>
    </row>
    <row r="3" spans="1:7" x14ac:dyDescent="0.25">
      <c r="A3" s="19">
        <v>58</v>
      </c>
      <c r="B3" s="17" t="s">
        <v>145</v>
      </c>
      <c r="C3" s="17" t="s">
        <v>146</v>
      </c>
      <c r="D3" s="17" t="s">
        <v>16</v>
      </c>
      <c r="E3" s="19">
        <v>1</v>
      </c>
      <c r="F3" s="17" t="s">
        <v>147</v>
      </c>
      <c r="G3" s="17" t="s">
        <v>148</v>
      </c>
    </row>
    <row r="4" spans="1:7" x14ac:dyDescent="0.25">
      <c r="A4" s="19">
        <v>2175</v>
      </c>
      <c r="B4" s="17" t="s">
        <v>149</v>
      </c>
      <c r="C4" s="17" t="s">
        <v>150</v>
      </c>
      <c r="D4" s="17" t="s">
        <v>151</v>
      </c>
      <c r="E4" s="19">
        <v>1</v>
      </c>
      <c r="F4" s="17" t="s">
        <v>152</v>
      </c>
      <c r="G4" s="17" t="s">
        <v>153</v>
      </c>
    </row>
    <row r="5" spans="1:7" x14ac:dyDescent="0.25">
      <c r="A5" s="19">
        <v>2176</v>
      </c>
      <c r="B5" s="17" t="s">
        <v>149</v>
      </c>
      <c r="C5" s="17" t="s">
        <v>150</v>
      </c>
      <c r="D5" s="17" t="s">
        <v>151</v>
      </c>
      <c r="E5" s="19">
        <v>2</v>
      </c>
      <c r="F5" s="17" t="s">
        <v>154</v>
      </c>
      <c r="G5" s="17" t="s">
        <v>155</v>
      </c>
    </row>
    <row r="6" spans="1:7" x14ac:dyDescent="0.25">
      <c r="A6" s="19">
        <v>2177</v>
      </c>
      <c r="B6" s="17" t="s">
        <v>149</v>
      </c>
      <c r="C6" s="17" t="s">
        <v>150</v>
      </c>
      <c r="D6" s="17" t="s">
        <v>151</v>
      </c>
      <c r="E6" s="19">
        <v>3</v>
      </c>
      <c r="F6" s="17" t="s">
        <v>156</v>
      </c>
      <c r="G6" s="17" t="s">
        <v>157</v>
      </c>
    </row>
    <row r="7" spans="1:7" x14ac:dyDescent="0.25">
      <c r="A7" s="19">
        <v>2178</v>
      </c>
      <c r="B7" s="17" t="s">
        <v>149</v>
      </c>
      <c r="C7" s="17" t="s">
        <v>150</v>
      </c>
      <c r="D7" s="17" t="s">
        <v>151</v>
      </c>
      <c r="E7" s="19">
        <v>4</v>
      </c>
      <c r="F7" s="17" t="s">
        <v>158</v>
      </c>
      <c r="G7" s="17" t="s">
        <v>159</v>
      </c>
    </row>
    <row r="8" spans="1:7" x14ac:dyDescent="0.25">
      <c r="A8" s="19">
        <v>2179</v>
      </c>
      <c r="B8" s="17" t="s">
        <v>149</v>
      </c>
      <c r="C8" s="17" t="s">
        <v>150</v>
      </c>
      <c r="D8" s="17" t="s">
        <v>151</v>
      </c>
      <c r="E8" s="19">
        <v>5</v>
      </c>
      <c r="F8" s="17" t="s">
        <v>160</v>
      </c>
      <c r="G8" s="17" t="s">
        <v>161</v>
      </c>
    </row>
    <row r="9" spans="1:7" x14ac:dyDescent="0.25">
      <c r="A9" s="19">
        <v>2180</v>
      </c>
      <c r="B9" s="17" t="s">
        <v>149</v>
      </c>
      <c r="C9" s="17" t="s">
        <v>150</v>
      </c>
      <c r="D9" s="17" t="s">
        <v>151</v>
      </c>
      <c r="E9" s="19">
        <v>6</v>
      </c>
      <c r="F9" s="17" t="s">
        <v>162</v>
      </c>
      <c r="G9" s="17" t="s">
        <v>163</v>
      </c>
    </row>
    <row r="10" spans="1:7" x14ac:dyDescent="0.25">
      <c r="A10" s="19">
        <v>2181</v>
      </c>
      <c r="B10" s="17" t="s">
        <v>149</v>
      </c>
      <c r="C10" s="17" t="s">
        <v>150</v>
      </c>
      <c r="D10" s="17" t="s">
        <v>151</v>
      </c>
      <c r="E10" s="19">
        <v>7</v>
      </c>
      <c r="F10" s="17" t="s">
        <v>164</v>
      </c>
      <c r="G10" s="17" t="s">
        <v>165</v>
      </c>
    </row>
    <row r="11" spans="1:7" x14ac:dyDescent="0.25">
      <c r="A11" s="19">
        <v>2182</v>
      </c>
      <c r="B11" s="17" t="s">
        <v>149</v>
      </c>
      <c r="C11" s="17" t="s">
        <v>150</v>
      </c>
      <c r="D11" s="17" t="s">
        <v>151</v>
      </c>
      <c r="E11" s="19">
        <v>8</v>
      </c>
      <c r="F11" s="17" t="s">
        <v>166</v>
      </c>
      <c r="G11" s="17" t="s">
        <v>167</v>
      </c>
    </row>
    <row r="12" spans="1:7" x14ac:dyDescent="0.25">
      <c r="A12" s="21">
        <v>1841</v>
      </c>
      <c r="B12" s="22" t="s">
        <v>168</v>
      </c>
      <c r="C12" s="22" t="s">
        <v>169</v>
      </c>
      <c r="D12" s="22" t="s">
        <v>131</v>
      </c>
      <c r="E12" s="21">
        <v>1</v>
      </c>
      <c r="F12" s="22" t="s">
        <v>148</v>
      </c>
      <c r="G12" s="23">
        <v>2341.7600000000002</v>
      </c>
    </row>
    <row r="13" spans="1:7" x14ac:dyDescent="0.25">
      <c r="A13" s="21">
        <v>1913</v>
      </c>
      <c r="B13" s="22" t="s">
        <v>168</v>
      </c>
      <c r="C13" s="22" t="s">
        <v>169</v>
      </c>
      <c r="D13" s="22" t="s">
        <v>131</v>
      </c>
      <c r="E13" s="21">
        <v>2</v>
      </c>
      <c r="F13" s="22" t="s">
        <v>148</v>
      </c>
      <c r="G13" s="23">
        <v>2910.15</v>
      </c>
    </row>
    <row r="14" spans="1:7" x14ac:dyDescent="0.25">
      <c r="A14" s="21">
        <v>2418</v>
      </c>
      <c r="B14" s="22" t="s">
        <v>168</v>
      </c>
      <c r="C14" s="22" t="s">
        <v>169</v>
      </c>
      <c r="D14" s="22" t="s">
        <v>131</v>
      </c>
      <c r="E14" s="21">
        <v>3</v>
      </c>
      <c r="F14" s="22" t="s">
        <v>148</v>
      </c>
      <c r="G14" s="23">
        <v>3600</v>
      </c>
    </row>
    <row r="15" spans="1:7" x14ac:dyDescent="0.25">
      <c r="A15" s="21">
        <v>2174</v>
      </c>
      <c r="B15" s="22" t="s">
        <v>168</v>
      </c>
      <c r="C15" s="22" t="s">
        <v>130</v>
      </c>
      <c r="D15" s="22" t="s">
        <v>131</v>
      </c>
      <c r="E15" s="21">
        <v>20</v>
      </c>
      <c r="F15" s="22" t="s">
        <v>133</v>
      </c>
      <c r="G15" s="23">
        <v>7092.44</v>
      </c>
    </row>
    <row r="16" spans="1:7" x14ac:dyDescent="0.25">
      <c r="A16" s="21">
        <v>2087</v>
      </c>
      <c r="B16" s="22" t="s">
        <v>168</v>
      </c>
      <c r="C16" s="22" t="s">
        <v>130</v>
      </c>
      <c r="D16" s="22" t="s">
        <v>131</v>
      </c>
      <c r="E16" s="21">
        <v>25</v>
      </c>
      <c r="F16" s="22" t="s">
        <v>170</v>
      </c>
      <c r="G16" s="23">
        <v>8865.56</v>
      </c>
    </row>
    <row r="17" spans="1:7" x14ac:dyDescent="0.25">
      <c r="A17" s="19">
        <v>2</v>
      </c>
      <c r="B17" s="17" t="s">
        <v>171</v>
      </c>
      <c r="C17" s="17" t="s">
        <v>172</v>
      </c>
      <c r="D17" s="17" t="s">
        <v>173</v>
      </c>
      <c r="E17" s="19">
        <v>1</v>
      </c>
      <c r="F17" s="17" t="s">
        <v>174</v>
      </c>
      <c r="G17" s="20">
        <v>0</v>
      </c>
    </row>
    <row r="18" spans="1:7" x14ac:dyDescent="0.25">
      <c r="A18" s="19">
        <v>1760</v>
      </c>
      <c r="B18" s="17" t="s">
        <v>171</v>
      </c>
      <c r="C18" s="17" t="s">
        <v>175</v>
      </c>
      <c r="D18" s="17" t="s">
        <v>173</v>
      </c>
      <c r="E18" s="19">
        <v>1</v>
      </c>
      <c r="F18" s="17" t="s">
        <v>174</v>
      </c>
      <c r="G18" s="17" t="s">
        <v>148</v>
      </c>
    </row>
    <row r="19" spans="1:7" x14ac:dyDescent="0.25">
      <c r="A19" s="19">
        <v>1759</v>
      </c>
      <c r="B19" s="17" t="s">
        <v>171</v>
      </c>
      <c r="C19" s="17" t="s">
        <v>176</v>
      </c>
      <c r="D19" s="17" t="s">
        <v>173</v>
      </c>
      <c r="E19" s="19">
        <v>1</v>
      </c>
      <c r="F19" s="17" t="s">
        <v>177</v>
      </c>
      <c r="G19" s="17" t="s">
        <v>148</v>
      </c>
    </row>
    <row r="20" spans="1:7" x14ac:dyDescent="0.25">
      <c r="A20" s="19">
        <v>61</v>
      </c>
      <c r="B20" s="17" t="s">
        <v>171</v>
      </c>
      <c r="C20" s="17" t="s">
        <v>178</v>
      </c>
      <c r="D20" s="17" t="s">
        <v>173</v>
      </c>
      <c r="E20" s="19">
        <v>1</v>
      </c>
      <c r="F20" s="17" t="s">
        <v>179</v>
      </c>
      <c r="G20" s="17" t="s">
        <v>148</v>
      </c>
    </row>
    <row r="21" spans="1:7" x14ac:dyDescent="0.25">
      <c r="A21" s="19">
        <v>1765</v>
      </c>
      <c r="B21" s="17" t="s">
        <v>171</v>
      </c>
      <c r="C21" s="17" t="s">
        <v>180</v>
      </c>
      <c r="D21" s="17" t="s">
        <v>173</v>
      </c>
      <c r="E21" s="19">
        <v>1</v>
      </c>
      <c r="F21" s="17" t="s">
        <v>179</v>
      </c>
      <c r="G21" s="17" t="s">
        <v>148</v>
      </c>
    </row>
    <row r="22" spans="1:7" x14ac:dyDescent="0.25">
      <c r="A22" s="19">
        <v>2183</v>
      </c>
      <c r="B22" s="17" t="s">
        <v>181</v>
      </c>
      <c r="C22" s="17" t="s">
        <v>182</v>
      </c>
      <c r="D22" s="17" t="s">
        <v>14</v>
      </c>
      <c r="E22" s="17" t="s">
        <v>15</v>
      </c>
      <c r="F22" s="17" t="s">
        <v>183</v>
      </c>
      <c r="G22" s="17" t="s">
        <v>148</v>
      </c>
    </row>
    <row r="23" spans="1:7" x14ac:dyDescent="0.25">
      <c r="A23" s="19">
        <v>2222</v>
      </c>
      <c r="B23" s="17" t="s">
        <v>181</v>
      </c>
      <c r="C23" s="17" t="s">
        <v>182</v>
      </c>
      <c r="D23" s="17" t="s">
        <v>14</v>
      </c>
      <c r="E23" s="17" t="s">
        <v>16</v>
      </c>
      <c r="F23" s="17" t="s">
        <v>184</v>
      </c>
      <c r="G23" s="17" t="s">
        <v>148</v>
      </c>
    </row>
    <row r="24" spans="1:7" x14ac:dyDescent="0.25">
      <c r="A24" s="19">
        <v>2261</v>
      </c>
      <c r="B24" s="17" t="s">
        <v>181</v>
      </c>
      <c r="C24" s="17" t="s">
        <v>182</v>
      </c>
      <c r="D24" s="17" t="s">
        <v>14</v>
      </c>
      <c r="E24" s="17" t="s">
        <v>17</v>
      </c>
      <c r="F24" s="17" t="s">
        <v>185</v>
      </c>
      <c r="G24" s="17" t="s">
        <v>148</v>
      </c>
    </row>
    <row r="25" spans="1:7" x14ac:dyDescent="0.25">
      <c r="A25" s="19">
        <v>2300</v>
      </c>
      <c r="B25" s="17" t="s">
        <v>181</v>
      </c>
      <c r="C25" s="17" t="s">
        <v>182</v>
      </c>
      <c r="D25" s="17" t="s">
        <v>14</v>
      </c>
      <c r="E25" s="17" t="s">
        <v>18</v>
      </c>
      <c r="F25" s="17" t="s">
        <v>186</v>
      </c>
      <c r="G25" s="17" t="s">
        <v>148</v>
      </c>
    </row>
    <row r="26" spans="1:7" x14ac:dyDescent="0.25">
      <c r="A26" s="19">
        <v>2340</v>
      </c>
      <c r="B26" s="17" t="s">
        <v>181</v>
      </c>
      <c r="C26" s="17" t="s">
        <v>182</v>
      </c>
      <c r="D26" s="17" t="s">
        <v>14</v>
      </c>
      <c r="E26" s="17" t="s">
        <v>19</v>
      </c>
      <c r="F26" s="17" t="s">
        <v>187</v>
      </c>
      <c r="G26" s="17" t="s">
        <v>148</v>
      </c>
    </row>
    <row r="27" spans="1:7" x14ac:dyDescent="0.25">
      <c r="A27" s="19">
        <v>2379</v>
      </c>
      <c r="B27" s="17" t="s">
        <v>181</v>
      </c>
      <c r="C27" s="17" t="s">
        <v>182</v>
      </c>
      <c r="D27" s="17" t="s">
        <v>14</v>
      </c>
      <c r="E27" s="17" t="s">
        <v>20</v>
      </c>
      <c r="F27" s="17" t="s">
        <v>188</v>
      </c>
      <c r="G27" s="17" t="s">
        <v>148</v>
      </c>
    </row>
    <row r="28" spans="1:7" x14ac:dyDescent="0.25">
      <c r="A28" s="19">
        <v>240</v>
      </c>
      <c r="B28" s="17" t="s">
        <v>181</v>
      </c>
      <c r="C28" s="17" t="s">
        <v>182</v>
      </c>
      <c r="D28" s="17" t="s">
        <v>14</v>
      </c>
      <c r="E28" s="17" t="s">
        <v>189</v>
      </c>
      <c r="F28" s="17" t="s">
        <v>190</v>
      </c>
      <c r="G28" s="17" t="s">
        <v>148</v>
      </c>
    </row>
    <row r="29" spans="1:7" x14ac:dyDescent="0.25">
      <c r="A29" s="19">
        <v>244</v>
      </c>
      <c r="B29" s="17" t="s">
        <v>181</v>
      </c>
      <c r="C29" s="17" t="s">
        <v>182</v>
      </c>
      <c r="D29" s="17" t="s">
        <v>14</v>
      </c>
      <c r="E29" s="17" t="s">
        <v>191</v>
      </c>
      <c r="F29" s="17" t="s">
        <v>192</v>
      </c>
      <c r="G29" s="17" t="s">
        <v>148</v>
      </c>
    </row>
    <row r="30" spans="1:7" x14ac:dyDescent="0.25">
      <c r="A30" s="19">
        <v>254</v>
      </c>
      <c r="B30" s="17" t="s">
        <v>181</v>
      </c>
      <c r="C30" s="17" t="s">
        <v>182</v>
      </c>
      <c r="D30" s="17" t="s">
        <v>14</v>
      </c>
      <c r="E30" s="17" t="s">
        <v>14</v>
      </c>
      <c r="F30" s="17" t="s">
        <v>193</v>
      </c>
      <c r="G30" s="17" t="s">
        <v>148</v>
      </c>
    </row>
    <row r="31" spans="1:7" x14ac:dyDescent="0.25">
      <c r="A31" s="19">
        <v>2193</v>
      </c>
      <c r="B31" s="17" t="s">
        <v>181</v>
      </c>
      <c r="C31" s="17" t="s">
        <v>182</v>
      </c>
      <c r="D31" s="17" t="s">
        <v>21</v>
      </c>
      <c r="E31" s="17" t="s">
        <v>15</v>
      </c>
      <c r="F31" s="17" t="s">
        <v>194</v>
      </c>
      <c r="G31" s="17" t="s">
        <v>148</v>
      </c>
    </row>
    <row r="32" spans="1:7" x14ac:dyDescent="0.25">
      <c r="A32" s="19">
        <v>2232</v>
      </c>
      <c r="B32" s="17" t="s">
        <v>181</v>
      </c>
      <c r="C32" s="17" t="s">
        <v>182</v>
      </c>
      <c r="D32" s="17" t="s">
        <v>21</v>
      </c>
      <c r="E32" s="17" t="s">
        <v>16</v>
      </c>
      <c r="F32" s="17" t="s">
        <v>195</v>
      </c>
      <c r="G32" s="17" t="s">
        <v>148</v>
      </c>
    </row>
    <row r="33" spans="1:7" x14ac:dyDescent="0.25">
      <c r="A33" s="19">
        <v>2271</v>
      </c>
      <c r="B33" s="17" t="s">
        <v>181</v>
      </c>
      <c r="C33" s="17" t="s">
        <v>182</v>
      </c>
      <c r="D33" s="17" t="s">
        <v>21</v>
      </c>
      <c r="E33" s="17" t="s">
        <v>17</v>
      </c>
      <c r="F33" s="17" t="s">
        <v>196</v>
      </c>
      <c r="G33" s="17" t="s">
        <v>148</v>
      </c>
    </row>
    <row r="34" spans="1:7" x14ac:dyDescent="0.25">
      <c r="A34" s="19">
        <v>2310</v>
      </c>
      <c r="B34" s="17" t="s">
        <v>181</v>
      </c>
      <c r="C34" s="17" t="s">
        <v>182</v>
      </c>
      <c r="D34" s="17" t="s">
        <v>21</v>
      </c>
      <c r="E34" s="17" t="s">
        <v>18</v>
      </c>
      <c r="F34" s="17" t="s">
        <v>197</v>
      </c>
      <c r="G34" s="17" t="s">
        <v>148</v>
      </c>
    </row>
    <row r="35" spans="1:7" x14ac:dyDescent="0.25">
      <c r="A35" s="19">
        <v>2350</v>
      </c>
      <c r="B35" s="17" t="s">
        <v>181</v>
      </c>
      <c r="C35" s="17" t="s">
        <v>182</v>
      </c>
      <c r="D35" s="17" t="s">
        <v>21</v>
      </c>
      <c r="E35" s="17" t="s">
        <v>19</v>
      </c>
      <c r="F35" s="17" t="s">
        <v>198</v>
      </c>
      <c r="G35" s="17" t="s">
        <v>148</v>
      </c>
    </row>
    <row r="36" spans="1:7" x14ac:dyDescent="0.25">
      <c r="A36" s="19">
        <v>2389</v>
      </c>
      <c r="B36" s="17" t="s">
        <v>181</v>
      </c>
      <c r="C36" s="17" t="s">
        <v>182</v>
      </c>
      <c r="D36" s="17" t="s">
        <v>21</v>
      </c>
      <c r="E36" s="17" t="s">
        <v>20</v>
      </c>
      <c r="F36" s="17" t="s">
        <v>199</v>
      </c>
      <c r="G36" s="17" t="s">
        <v>148</v>
      </c>
    </row>
    <row r="37" spans="1:7" x14ac:dyDescent="0.25">
      <c r="A37" s="19">
        <v>298</v>
      </c>
      <c r="B37" s="17" t="s">
        <v>181</v>
      </c>
      <c r="C37" s="17" t="s">
        <v>182</v>
      </c>
      <c r="D37" s="17" t="s">
        <v>21</v>
      </c>
      <c r="E37" s="17" t="s">
        <v>189</v>
      </c>
      <c r="F37" s="17" t="s">
        <v>200</v>
      </c>
      <c r="G37" s="17" t="s">
        <v>148</v>
      </c>
    </row>
    <row r="38" spans="1:7" x14ac:dyDescent="0.25">
      <c r="A38" s="19">
        <v>311</v>
      </c>
      <c r="B38" s="17" t="s">
        <v>181</v>
      </c>
      <c r="C38" s="17" t="s">
        <v>182</v>
      </c>
      <c r="D38" s="17" t="s">
        <v>21</v>
      </c>
      <c r="E38" s="17" t="s">
        <v>191</v>
      </c>
      <c r="F38" s="17" t="s">
        <v>201</v>
      </c>
      <c r="G38" s="17" t="s">
        <v>148</v>
      </c>
    </row>
    <row r="39" spans="1:7" x14ac:dyDescent="0.25">
      <c r="A39" s="19">
        <v>318</v>
      </c>
      <c r="B39" s="17" t="s">
        <v>181</v>
      </c>
      <c r="C39" s="17" t="s">
        <v>182</v>
      </c>
      <c r="D39" s="17" t="s">
        <v>21</v>
      </c>
      <c r="E39" s="17" t="s">
        <v>14</v>
      </c>
      <c r="F39" s="17" t="s">
        <v>202</v>
      </c>
      <c r="G39" s="17" t="s">
        <v>148</v>
      </c>
    </row>
    <row r="40" spans="1:7" x14ac:dyDescent="0.25">
      <c r="A40" s="19">
        <v>2203</v>
      </c>
      <c r="B40" s="17" t="s">
        <v>181</v>
      </c>
      <c r="C40" s="17" t="s">
        <v>182</v>
      </c>
      <c r="D40" s="17" t="s">
        <v>203</v>
      </c>
      <c r="E40" s="17" t="s">
        <v>15</v>
      </c>
      <c r="F40" s="17" t="s">
        <v>204</v>
      </c>
      <c r="G40" s="17" t="s">
        <v>148</v>
      </c>
    </row>
    <row r="41" spans="1:7" x14ac:dyDescent="0.25">
      <c r="A41" s="19">
        <v>2215</v>
      </c>
      <c r="B41" s="17" t="s">
        <v>181</v>
      </c>
      <c r="C41" s="17" t="s">
        <v>182</v>
      </c>
      <c r="D41" s="17" t="s">
        <v>203</v>
      </c>
      <c r="E41" s="17" t="s">
        <v>205</v>
      </c>
      <c r="F41" s="17" t="s">
        <v>206</v>
      </c>
      <c r="G41" s="17" t="s">
        <v>148</v>
      </c>
    </row>
    <row r="42" spans="1:7" x14ac:dyDescent="0.25">
      <c r="A42" s="19">
        <v>2217</v>
      </c>
      <c r="B42" s="17" t="s">
        <v>181</v>
      </c>
      <c r="C42" s="17" t="s">
        <v>182</v>
      </c>
      <c r="D42" s="17" t="s">
        <v>203</v>
      </c>
      <c r="E42" s="17" t="s">
        <v>207</v>
      </c>
      <c r="F42" s="17" t="s">
        <v>208</v>
      </c>
      <c r="G42" s="17" t="s">
        <v>148</v>
      </c>
    </row>
    <row r="43" spans="1:7" x14ac:dyDescent="0.25">
      <c r="A43" s="19">
        <v>2242</v>
      </c>
      <c r="B43" s="17" t="s">
        <v>181</v>
      </c>
      <c r="C43" s="17" t="s">
        <v>182</v>
      </c>
      <c r="D43" s="17" t="s">
        <v>203</v>
      </c>
      <c r="E43" s="17" t="s">
        <v>16</v>
      </c>
      <c r="F43" s="17" t="s">
        <v>209</v>
      </c>
      <c r="G43" s="17" t="s">
        <v>148</v>
      </c>
    </row>
    <row r="44" spans="1:7" x14ac:dyDescent="0.25">
      <c r="A44" s="19">
        <v>2254</v>
      </c>
      <c r="B44" s="17" t="s">
        <v>181</v>
      </c>
      <c r="C44" s="17" t="s">
        <v>182</v>
      </c>
      <c r="D44" s="17" t="s">
        <v>203</v>
      </c>
      <c r="E44" s="17" t="s">
        <v>210</v>
      </c>
      <c r="F44" s="17" t="s">
        <v>211</v>
      </c>
      <c r="G44" s="17" t="s">
        <v>148</v>
      </c>
    </row>
    <row r="45" spans="1:7" x14ac:dyDescent="0.25">
      <c r="A45" s="19">
        <v>2256</v>
      </c>
      <c r="B45" s="17" t="s">
        <v>181</v>
      </c>
      <c r="C45" s="17" t="s">
        <v>182</v>
      </c>
      <c r="D45" s="17" t="s">
        <v>203</v>
      </c>
      <c r="E45" s="17" t="s">
        <v>212</v>
      </c>
      <c r="F45" s="17" t="s">
        <v>213</v>
      </c>
      <c r="G45" s="17" t="s">
        <v>148</v>
      </c>
    </row>
    <row r="46" spans="1:7" x14ac:dyDescent="0.25">
      <c r="A46" s="19">
        <v>2281</v>
      </c>
      <c r="B46" s="17" t="s">
        <v>181</v>
      </c>
      <c r="C46" s="17" t="s">
        <v>182</v>
      </c>
      <c r="D46" s="17" t="s">
        <v>203</v>
      </c>
      <c r="E46" s="17" t="s">
        <v>17</v>
      </c>
      <c r="F46" s="17" t="s">
        <v>214</v>
      </c>
      <c r="G46" s="17" t="s">
        <v>148</v>
      </c>
    </row>
    <row r="47" spans="1:7" x14ac:dyDescent="0.25">
      <c r="A47" s="19">
        <v>2293</v>
      </c>
      <c r="B47" s="17" t="s">
        <v>181</v>
      </c>
      <c r="C47" s="17" t="s">
        <v>182</v>
      </c>
      <c r="D47" s="17" t="s">
        <v>203</v>
      </c>
      <c r="E47" s="17" t="s">
        <v>215</v>
      </c>
      <c r="F47" s="17" t="s">
        <v>216</v>
      </c>
      <c r="G47" s="17" t="s">
        <v>148</v>
      </c>
    </row>
    <row r="48" spans="1:7" x14ac:dyDescent="0.25">
      <c r="A48" s="19">
        <v>2295</v>
      </c>
      <c r="B48" s="17" t="s">
        <v>181</v>
      </c>
      <c r="C48" s="17" t="s">
        <v>182</v>
      </c>
      <c r="D48" s="17" t="s">
        <v>203</v>
      </c>
      <c r="E48" s="17" t="s">
        <v>217</v>
      </c>
      <c r="F48" s="17" t="s">
        <v>218</v>
      </c>
      <c r="G48" s="17" t="s">
        <v>148</v>
      </c>
    </row>
    <row r="49" spans="1:7" x14ac:dyDescent="0.25">
      <c r="A49" s="19">
        <v>2320</v>
      </c>
      <c r="B49" s="17" t="s">
        <v>181</v>
      </c>
      <c r="C49" s="17" t="s">
        <v>182</v>
      </c>
      <c r="D49" s="17" t="s">
        <v>203</v>
      </c>
      <c r="E49" s="17" t="s">
        <v>18</v>
      </c>
      <c r="F49" s="17" t="s">
        <v>219</v>
      </c>
      <c r="G49" s="17" t="s">
        <v>148</v>
      </c>
    </row>
    <row r="50" spans="1:7" x14ac:dyDescent="0.25">
      <c r="A50" s="19">
        <v>2333</v>
      </c>
      <c r="B50" s="17" t="s">
        <v>181</v>
      </c>
      <c r="C50" s="17" t="s">
        <v>182</v>
      </c>
      <c r="D50" s="17" t="s">
        <v>203</v>
      </c>
      <c r="E50" s="17" t="s">
        <v>220</v>
      </c>
      <c r="F50" s="17" t="s">
        <v>221</v>
      </c>
      <c r="G50" s="17" t="s">
        <v>148</v>
      </c>
    </row>
    <row r="51" spans="1:7" x14ac:dyDescent="0.25">
      <c r="A51" s="19">
        <v>2335</v>
      </c>
      <c r="B51" s="17" t="s">
        <v>181</v>
      </c>
      <c r="C51" s="17" t="s">
        <v>182</v>
      </c>
      <c r="D51" s="17" t="s">
        <v>203</v>
      </c>
      <c r="E51" s="17" t="s">
        <v>222</v>
      </c>
      <c r="F51" s="17" t="s">
        <v>223</v>
      </c>
      <c r="G51" s="17" t="s">
        <v>148</v>
      </c>
    </row>
    <row r="52" spans="1:7" x14ac:dyDescent="0.25">
      <c r="A52" s="19">
        <v>2360</v>
      </c>
      <c r="B52" s="17" t="s">
        <v>181</v>
      </c>
      <c r="C52" s="17" t="s">
        <v>182</v>
      </c>
      <c r="D52" s="17" t="s">
        <v>203</v>
      </c>
      <c r="E52" s="17" t="s">
        <v>19</v>
      </c>
      <c r="F52" s="17" t="s">
        <v>224</v>
      </c>
      <c r="G52" s="17" t="s">
        <v>148</v>
      </c>
    </row>
    <row r="53" spans="1:7" x14ac:dyDescent="0.25">
      <c r="A53" s="19">
        <v>2372</v>
      </c>
      <c r="B53" s="17" t="s">
        <v>181</v>
      </c>
      <c r="C53" s="17" t="s">
        <v>182</v>
      </c>
      <c r="D53" s="17" t="s">
        <v>203</v>
      </c>
      <c r="E53" s="17" t="s">
        <v>225</v>
      </c>
      <c r="F53" s="17" t="s">
        <v>226</v>
      </c>
      <c r="G53" s="17" t="s">
        <v>148</v>
      </c>
    </row>
    <row r="54" spans="1:7" x14ac:dyDescent="0.25">
      <c r="A54" s="19">
        <v>2374</v>
      </c>
      <c r="B54" s="17" t="s">
        <v>181</v>
      </c>
      <c r="C54" s="17" t="s">
        <v>182</v>
      </c>
      <c r="D54" s="17" t="s">
        <v>203</v>
      </c>
      <c r="E54" s="17" t="s">
        <v>227</v>
      </c>
      <c r="F54" s="17" t="s">
        <v>228</v>
      </c>
      <c r="G54" s="17" t="s">
        <v>148</v>
      </c>
    </row>
    <row r="55" spans="1:7" x14ac:dyDescent="0.25">
      <c r="A55" s="19">
        <v>2399</v>
      </c>
      <c r="B55" s="17" t="s">
        <v>181</v>
      </c>
      <c r="C55" s="17" t="s">
        <v>182</v>
      </c>
      <c r="D55" s="17" t="s">
        <v>203</v>
      </c>
      <c r="E55" s="17" t="s">
        <v>20</v>
      </c>
      <c r="F55" s="17" t="s">
        <v>229</v>
      </c>
      <c r="G55" s="17" t="s">
        <v>148</v>
      </c>
    </row>
    <row r="56" spans="1:7" x14ac:dyDescent="0.25">
      <c r="A56" s="19">
        <v>2411</v>
      </c>
      <c r="B56" s="17" t="s">
        <v>181</v>
      </c>
      <c r="C56" s="17" t="s">
        <v>182</v>
      </c>
      <c r="D56" s="17" t="s">
        <v>203</v>
      </c>
      <c r="E56" s="17" t="s">
        <v>230</v>
      </c>
      <c r="F56" s="17" t="s">
        <v>231</v>
      </c>
      <c r="G56" s="17" t="s">
        <v>148</v>
      </c>
    </row>
    <row r="57" spans="1:7" x14ac:dyDescent="0.25">
      <c r="A57" s="19">
        <v>2413</v>
      </c>
      <c r="B57" s="17" t="s">
        <v>181</v>
      </c>
      <c r="C57" s="17" t="s">
        <v>182</v>
      </c>
      <c r="D57" s="17" t="s">
        <v>203</v>
      </c>
      <c r="E57" s="17" t="s">
        <v>232</v>
      </c>
      <c r="F57" s="17" t="s">
        <v>233</v>
      </c>
      <c r="G57" s="17" t="s">
        <v>148</v>
      </c>
    </row>
    <row r="58" spans="1:7" x14ac:dyDescent="0.25">
      <c r="A58" s="19">
        <v>2184</v>
      </c>
      <c r="B58" s="17" t="s">
        <v>181</v>
      </c>
      <c r="C58" s="17" t="s">
        <v>234</v>
      </c>
      <c r="D58" s="17" t="s">
        <v>14</v>
      </c>
      <c r="E58" s="17" t="s">
        <v>15</v>
      </c>
      <c r="F58" s="17" t="s">
        <v>235</v>
      </c>
      <c r="G58" s="17" t="s">
        <v>148</v>
      </c>
    </row>
    <row r="59" spans="1:7" x14ac:dyDescent="0.25">
      <c r="A59" s="19">
        <v>2223</v>
      </c>
      <c r="B59" s="17" t="s">
        <v>181</v>
      </c>
      <c r="C59" s="17" t="s">
        <v>234</v>
      </c>
      <c r="D59" s="17" t="s">
        <v>14</v>
      </c>
      <c r="E59" s="17" t="s">
        <v>16</v>
      </c>
      <c r="F59" s="17" t="s">
        <v>236</v>
      </c>
      <c r="G59" s="17" t="s">
        <v>148</v>
      </c>
    </row>
    <row r="60" spans="1:7" x14ac:dyDescent="0.25">
      <c r="A60" s="19">
        <v>2262</v>
      </c>
      <c r="B60" s="17" t="s">
        <v>181</v>
      </c>
      <c r="C60" s="17" t="s">
        <v>234</v>
      </c>
      <c r="D60" s="17" t="s">
        <v>14</v>
      </c>
      <c r="E60" s="17" t="s">
        <v>17</v>
      </c>
      <c r="F60" s="17" t="s">
        <v>237</v>
      </c>
      <c r="G60" s="17" t="s">
        <v>148</v>
      </c>
    </row>
    <row r="61" spans="1:7" x14ac:dyDescent="0.25">
      <c r="A61" s="19">
        <v>2301</v>
      </c>
      <c r="B61" s="17" t="s">
        <v>181</v>
      </c>
      <c r="C61" s="17" t="s">
        <v>234</v>
      </c>
      <c r="D61" s="17" t="s">
        <v>14</v>
      </c>
      <c r="E61" s="17" t="s">
        <v>18</v>
      </c>
      <c r="F61" s="17" t="s">
        <v>238</v>
      </c>
      <c r="G61" s="17" t="s">
        <v>148</v>
      </c>
    </row>
    <row r="62" spans="1:7" x14ac:dyDescent="0.25">
      <c r="A62" s="19">
        <v>2341</v>
      </c>
      <c r="B62" s="17" t="s">
        <v>181</v>
      </c>
      <c r="C62" s="17" t="s">
        <v>234</v>
      </c>
      <c r="D62" s="17" t="s">
        <v>14</v>
      </c>
      <c r="E62" s="17" t="s">
        <v>19</v>
      </c>
      <c r="F62" s="17" t="s">
        <v>239</v>
      </c>
      <c r="G62" s="17" t="s">
        <v>148</v>
      </c>
    </row>
    <row r="63" spans="1:7" x14ac:dyDescent="0.25">
      <c r="A63" s="19">
        <v>2380</v>
      </c>
      <c r="B63" s="17" t="s">
        <v>181</v>
      </c>
      <c r="C63" s="17" t="s">
        <v>234</v>
      </c>
      <c r="D63" s="17" t="s">
        <v>14</v>
      </c>
      <c r="E63" s="17" t="s">
        <v>20</v>
      </c>
      <c r="F63" s="17" t="s">
        <v>240</v>
      </c>
      <c r="G63" s="17" t="s">
        <v>148</v>
      </c>
    </row>
    <row r="64" spans="1:7" x14ac:dyDescent="0.25">
      <c r="A64" s="19">
        <v>115</v>
      </c>
      <c r="B64" s="17" t="s">
        <v>181</v>
      </c>
      <c r="C64" s="17" t="s">
        <v>234</v>
      </c>
      <c r="D64" s="17" t="s">
        <v>14</v>
      </c>
      <c r="E64" s="17" t="s">
        <v>189</v>
      </c>
      <c r="F64" s="17" t="s">
        <v>190</v>
      </c>
      <c r="G64" s="17" t="s">
        <v>148</v>
      </c>
    </row>
    <row r="65" spans="1:7" x14ac:dyDescent="0.25">
      <c r="A65" s="19">
        <v>121</v>
      </c>
      <c r="B65" s="17" t="s">
        <v>181</v>
      </c>
      <c r="C65" s="17" t="s">
        <v>234</v>
      </c>
      <c r="D65" s="17" t="s">
        <v>14</v>
      </c>
      <c r="E65" s="17" t="s">
        <v>191</v>
      </c>
      <c r="F65" s="17" t="s">
        <v>192</v>
      </c>
      <c r="G65" s="17" t="s">
        <v>148</v>
      </c>
    </row>
    <row r="66" spans="1:7" x14ac:dyDescent="0.25">
      <c r="A66" s="19">
        <v>124</v>
      </c>
      <c r="B66" s="17" t="s">
        <v>181</v>
      </c>
      <c r="C66" s="17" t="s">
        <v>234</v>
      </c>
      <c r="D66" s="17" t="s">
        <v>14</v>
      </c>
      <c r="E66" s="17" t="s">
        <v>14</v>
      </c>
      <c r="F66" s="17" t="s">
        <v>241</v>
      </c>
      <c r="G66" s="17" t="s">
        <v>148</v>
      </c>
    </row>
    <row r="67" spans="1:7" x14ac:dyDescent="0.25">
      <c r="A67" s="19">
        <v>2194</v>
      </c>
      <c r="B67" s="17" t="s">
        <v>181</v>
      </c>
      <c r="C67" s="17" t="s">
        <v>234</v>
      </c>
      <c r="D67" s="17" t="s">
        <v>21</v>
      </c>
      <c r="E67" s="17" t="s">
        <v>15</v>
      </c>
      <c r="F67" s="17" t="s">
        <v>242</v>
      </c>
      <c r="G67" s="17" t="s">
        <v>148</v>
      </c>
    </row>
    <row r="68" spans="1:7" x14ac:dyDescent="0.25">
      <c r="A68" s="19">
        <v>2233</v>
      </c>
      <c r="B68" s="17" t="s">
        <v>181</v>
      </c>
      <c r="C68" s="17" t="s">
        <v>234</v>
      </c>
      <c r="D68" s="17" t="s">
        <v>21</v>
      </c>
      <c r="E68" s="17" t="s">
        <v>16</v>
      </c>
      <c r="F68" s="17" t="s">
        <v>243</v>
      </c>
      <c r="G68" s="17" t="s">
        <v>148</v>
      </c>
    </row>
    <row r="69" spans="1:7" x14ac:dyDescent="0.25">
      <c r="A69" s="19">
        <v>2272</v>
      </c>
      <c r="B69" s="17" t="s">
        <v>181</v>
      </c>
      <c r="C69" s="17" t="s">
        <v>234</v>
      </c>
      <c r="D69" s="17" t="s">
        <v>21</v>
      </c>
      <c r="E69" s="17" t="s">
        <v>17</v>
      </c>
      <c r="F69" s="17" t="s">
        <v>244</v>
      </c>
      <c r="G69" s="17" t="s">
        <v>148</v>
      </c>
    </row>
    <row r="70" spans="1:7" x14ac:dyDescent="0.25">
      <c r="A70" s="19">
        <v>2311</v>
      </c>
      <c r="B70" s="17" t="s">
        <v>181</v>
      </c>
      <c r="C70" s="17" t="s">
        <v>234</v>
      </c>
      <c r="D70" s="17" t="s">
        <v>21</v>
      </c>
      <c r="E70" s="17" t="s">
        <v>18</v>
      </c>
      <c r="F70" s="17" t="s">
        <v>245</v>
      </c>
      <c r="G70" s="17" t="s">
        <v>148</v>
      </c>
    </row>
    <row r="71" spans="1:7" x14ac:dyDescent="0.25">
      <c r="A71" s="19">
        <v>2351</v>
      </c>
      <c r="B71" s="17" t="s">
        <v>181</v>
      </c>
      <c r="C71" s="17" t="s">
        <v>234</v>
      </c>
      <c r="D71" s="17" t="s">
        <v>21</v>
      </c>
      <c r="E71" s="17" t="s">
        <v>19</v>
      </c>
      <c r="F71" s="17" t="s">
        <v>246</v>
      </c>
      <c r="G71" s="17" t="s">
        <v>148</v>
      </c>
    </row>
    <row r="72" spans="1:7" x14ac:dyDescent="0.25">
      <c r="A72" s="19">
        <v>2390</v>
      </c>
      <c r="B72" s="17" t="s">
        <v>181</v>
      </c>
      <c r="C72" s="17" t="s">
        <v>234</v>
      </c>
      <c r="D72" s="17" t="s">
        <v>21</v>
      </c>
      <c r="E72" s="17" t="s">
        <v>20</v>
      </c>
      <c r="F72" s="17" t="s">
        <v>247</v>
      </c>
      <c r="G72" s="17" t="s">
        <v>148</v>
      </c>
    </row>
    <row r="73" spans="1:7" x14ac:dyDescent="0.25">
      <c r="A73" s="19">
        <v>178</v>
      </c>
      <c r="B73" s="17" t="s">
        <v>181</v>
      </c>
      <c r="C73" s="17" t="s">
        <v>234</v>
      </c>
      <c r="D73" s="17" t="s">
        <v>21</v>
      </c>
      <c r="E73" s="17" t="s">
        <v>189</v>
      </c>
      <c r="F73" s="17" t="s">
        <v>248</v>
      </c>
      <c r="G73" s="17" t="s">
        <v>148</v>
      </c>
    </row>
    <row r="74" spans="1:7" x14ac:dyDescent="0.25">
      <c r="A74" s="19">
        <v>184</v>
      </c>
      <c r="B74" s="17" t="s">
        <v>181</v>
      </c>
      <c r="C74" s="17" t="s">
        <v>234</v>
      </c>
      <c r="D74" s="17" t="s">
        <v>21</v>
      </c>
      <c r="E74" s="17" t="s">
        <v>191</v>
      </c>
      <c r="F74" s="17" t="s">
        <v>201</v>
      </c>
      <c r="G74" s="17" t="s">
        <v>148</v>
      </c>
    </row>
    <row r="75" spans="1:7" x14ac:dyDescent="0.25">
      <c r="A75" s="19">
        <v>192</v>
      </c>
      <c r="B75" s="17" t="s">
        <v>181</v>
      </c>
      <c r="C75" s="17" t="s">
        <v>234</v>
      </c>
      <c r="D75" s="17" t="s">
        <v>21</v>
      </c>
      <c r="E75" s="17" t="s">
        <v>14</v>
      </c>
      <c r="F75" s="17" t="s">
        <v>249</v>
      </c>
      <c r="G75" s="17" t="s">
        <v>148</v>
      </c>
    </row>
    <row r="76" spans="1:7" x14ac:dyDescent="0.25">
      <c r="A76" s="19">
        <v>2204</v>
      </c>
      <c r="B76" s="17" t="s">
        <v>181</v>
      </c>
      <c r="C76" s="17" t="s">
        <v>234</v>
      </c>
      <c r="D76" s="17" t="s">
        <v>203</v>
      </c>
      <c r="E76" s="17" t="s">
        <v>15</v>
      </c>
      <c r="F76" s="17" t="s">
        <v>250</v>
      </c>
      <c r="G76" s="17" t="s">
        <v>148</v>
      </c>
    </row>
    <row r="77" spans="1:7" x14ac:dyDescent="0.25">
      <c r="A77" s="19">
        <v>2218</v>
      </c>
      <c r="B77" s="17" t="s">
        <v>181</v>
      </c>
      <c r="C77" s="17" t="s">
        <v>234</v>
      </c>
      <c r="D77" s="17" t="s">
        <v>203</v>
      </c>
      <c r="E77" s="17" t="s">
        <v>207</v>
      </c>
      <c r="F77" s="17" t="s">
        <v>251</v>
      </c>
      <c r="G77" s="17" t="s">
        <v>148</v>
      </c>
    </row>
    <row r="78" spans="1:7" x14ac:dyDescent="0.25">
      <c r="A78" s="19">
        <v>2243</v>
      </c>
      <c r="B78" s="17" t="s">
        <v>181</v>
      </c>
      <c r="C78" s="17" t="s">
        <v>234</v>
      </c>
      <c r="D78" s="17" t="s">
        <v>203</v>
      </c>
      <c r="E78" s="17" t="s">
        <v>16</v>
      </c>
      <c r="F78" s="17" t="s">
        <v>252</v>
      </c>
      <c r="G78" s="17" t="s">
        <v>148</v>
      </c>
    </row>
    <row r="79" spans="1:7" x14ac:dyDescent="0.25">
      <c r="A79" s="19">
        <v>2257</v>
      </c>
      <c r="B79" s="17" t="s">
        <v>181</v>
      </c>
      <c r="C79" s="17" t="s">
        <v>234</v>
      </c>
      <c r="D79" s="17" t="s">
        <v>203</v>
      </c>
      <c r="E79" s="17" t="s">
        <v>212</v>
      </c>
      <c r="F79" s="17" t="s">
        <v>253</v>
      </c>
      <c r="G79" s="17" t="s">
        <v>148</v>
      </c>
    </row>
    <row r="80" spans="1:7" x14ac:dyDescent="0.25">
      <c r="A80" s="19">
        <v>2282</v>
      </c>
      <c r="B80" s="17" t="s">
        <v>181</v>
      </c>
      <c r="C80" s="17" t="s">
        <v>234</v>
      </c>
      <c r="D80" s="17" t="s">
        <v>203</v>
      </c>
      <c r="E80" s="17" t="s">
        <v>17</v>
      </c>
      <c r="F80" s="17" t="s">
        <v>254</v>
      </c>
      <c r="G80" s="17" t="s">
        <v>148</v>
      </c>
    </row>
    <row r="81" spans="1:7" x14ac:dyDescent="0.25">
      <c r="A81" s="19">
        <v>2296</v>
      </c>
      <c r="B81" s="17" t="s">
        <v>181</v>
      </c>
      <c r="C81" s="17" t="s">
        <v>234</v>
      </c>
      <c r="D81" s="17" t="s">
        <v>203</v>
      </c>
      <c r="E81" s="17" t="s">
        <v>217</v>
      </c>
      <c r="F81" s="17" t="s">
        <v>255</v>
      </c>
      <c r="G81" s="17" t="s">
        <v>148</v>
      </c>
    </row>
    <row r="82" spans="1:7" x14ac:dyDescent="0.25">
      <c r="A82" s="19">
        <v>2321</v>
      </c>
      <c r="B82" s="17" t="s">
        <v>181</v>
      </c>
      <c r="C82" s="17" t="s">
        <v>234</v>
      </c>
      <c r="D82" s="17" t="s">
        <v>203</v>
      </c>
      <c r="E82" s="17" t="s">
        <v>18</v>
      </c>
      <c r="F82" s="17" t="s">
        <v>256</v>
      </c>
      <c r="G82" s="17" t="s">
        <v>148</v>
      </c>
    </row>
    <row r="83" spans="1:7" x14ac:dyDescent="0.25">
      <c r="A83" s="19">
        <v>2336</v>
      </c>
      <c r="B83" s="17" t="s">
        <v>181</v>
      </c>
      <c r="C83" s="17" t="s">
        <v>234</v>
      </c>
      <c r="D83" s="17" t="s">
        <v>203</v>
      </c>
      <c r="E83" s="17" t="s">
        <v>222</v>
      </c>
      <c r="F83" s="17" t="s">
        <v>257</v>
      </c>
      <c r="G83" s="17" t="s">
        <v>148</v>
      </c>
    </row>
    <row r="84" spans="1:7" x14ac:dyDescent="0.25">
      <c r="A84" s="19">
        <v>2361</v>
      </c>
      <c r="B84" s="17" t="s">
        <v>181</v>
      </c>
      <c r="C84" s="17" t="s">
        <v>234</v>
      </c>
      <c r="D84" s="17" t="s">
        <v>203</v>
      </c>
      <c r="E84" s="17" t="s">
        <v>19</v>
      </c>
      <c r="F84" s="17" t="s">
        <v>258</v>
      </c>
      <c r="G84" s="17" t="s">
        <v>148</v>
      </c>
    </row>
    <row r="85" spans="1:7" x14ac:dyDescent="0.25">
      <c r="A85" s="19">
        <v>2375</v>
      </c>
      <c r="B85" s="17" t="s">
        <v>181</v>
      </c>
      <c r="C85" s="17" t="s">
        <v>234</v>
      </c>
      <c r="D85" s="17" t="s">
        <v>203</v>
      </c>
      <c r="E85" s="17" t="s">
        <v>227</v>
      </c>
      <c r="F85" s="17" t="s">
        <v>259</v>
      </c>
      <c r="G85" s="17" t="s">
        <v>148</v>
      </c>
    </row>
    <row r="86" spans="1:7" x14ac:dyDescent="0.25">
      <c r="A86" s="19">
        <v>2400</v>
      </c>
      <c r="B86" s="17" t="s">
        <v>181</v>
      </c>
      <c r="C86" s="17" t="s">
        <v>234</v>
      </c>
      <c r="D86" s="17" t="s">
        <v>203</v>
      </c>
      <c r="E86" s="17" t="s">
        <v>20</v>
      </c>
      <c r="F86" s="17" t="s">
        <v>260</v>
      </c>
      <c r="G86" s="17" t="s">
        <v>148</v>
      </c>
    </row>
    <row r="87" spans="1:7" x14ac:dyDescent="0.25">
      <c r="A87" s="19">
        <v>2414</v>
      </c>
      <c r="B87" s="17" t="s">
        <v>181</v>
      </c>
      <c r="C87" s="17" t="s">
        <v>234</v>
      </c>
      <c r="D87" s="17" t="s">
        <v>203</v>
      </c>
      <c r="E87" s="17" t="s">
        <v>232</v>
      </c>
      <c r="F87" s="17" t="s">
        <v>261</v>
      </c>
      <c r="G87" s="17" t="s">
        <v>148</v>
      </c>
    </row>
    <row r="88" spans="1:7" x14ac:dyDescent="0.25">
      <c r="A88" s="19">
        <v>2185</v>
      </c>
      <c r="B88" s="17" t="s">
        <v>181</v>
      </c>
      <c r="C88" s="17" t="s">
        <v>262</v>
      </c>
      <c r="D88" s="17" t="s">
        <v>14</v>
      </c>
      <c r="E88" s="17" t="s">
        <v>15</v>
      </c>
      <c r="F88" s="17" t="s">
        <v>263</v>
      </c>
      <c r="G88" s="17" t="s">
        <v>148</v>
      </c>
    </row>
    <row r="89" spans="1:7" x14ac:dyDescent="0.25">
      <c r="A89" s="19">
        <v>2224</v>
      </c>
      <c r="B89" s="17" t="s">
        <v>181</v>
      </c>
      <c r="C89" s="17" t="s">
        <v>262</v>
      </c>
      <c r="D89" s="17" t="s">
        <v>14</v>
      </c>
      <c r="E89" s="17" t="s">
        <v>16</v>
      </c>
      <c r="F89" s="17" t="s">
        <v>264</v>
      </c>
      <c r="G89" s="17" t="s">
        <v>148</v>
      </c>
    </row>
    <row r="90" spans="1:7" x14ac:dyDescent="0.25">
      <c r="A90" s="19">
        <v>2263</v>
      </c>
      <c r="B90" s="17" t="s">
        <v>181</v>
      </c>
      <c r="C90" s="17" t="s">
        <v>262</v>
      </c>
      <c r="D90" s="17" t="s">
        <v>14</v>
      </c>
      <c r="E90" s="17" t="s">
        <v>17</v>
      </c>
      <c r="F90" s="17" t="s">
        <v>265</v>
      </c>
      <c r="G90" s="17" t="s">
        <v>148</v>
      </c>
    </row>
    <row r="91" spans="1:7" x14ac:dyDescent="0.25">
      <c r="A91" s="19">
        <v>2302</v>
      </c>
      <c r="B91" s="17" t="s">
        <v>181</v>
      </c>
      <c r="C91" s="17" t="s">
        <v>262</v>
      </c>
      <c r="D91" s="17" t="s">
        <v>14</v>
      </c>
      <c r="E91" s="17" t="s">
        <v>18</v>
      </c>
      <c r="F91" s="17" t="s">
        <v>266</v>
      </c>
      <c r="G91" s="17" t="s">
        <v>148</v>
      </c>
    </row>
    <row r="92" spans="1:7" x14ac:dyDescent="0.25">
      <c r="A92" s="19">
        <v>2342</v>
      </c>
      <c r="B92" s="17" t="s">
        <v>181</v>
      </c>
      <c r="C92" s="17" t="s">
        <v>262</v>
      </c>
      <c r="D92" s="17" t="s">
        <v>14</v>
      </c>
      <c r="E92" s="17" t="s">
        <v>19</v>
      </c>
      <c r="F92" s="17" t="s">
        <v>267</v>
      </c>
      <c r="G92" s="17" t="s">
        <v>148</v>
      </c>
    </row>
    <row r="93" spans="1:7" x14ac:dyDescent="0.25">
      <c r="A93" s="19">
        <v>2381</v>
      </c>
      <c r="B93" s="17" t="s">
        <v>181</v>
      </c>
      <c r="C93" s="17" t="s">
        <v>262</v>
      </c>
      <c r="D93" s="17" t="s">
        <v>14</v>
      </c>
      <c r="E93" s="17" t="s">
        <v>20</v>
      </c>
      <c r="F93" s="17" t="s">
        <v>268</v>
      </c>
      <c r="G93" s="17" t="s">
        <v>148</v>
      </c>
    </row>
    <row r="94" spans="1:7" x14ac:dyDescent="0.25">
      <c r="A94" s="19">
        <v>1011</v>
      </c>
      <c r="B94" s="17" t="s">
        <v>181</v>
      </c>
      <c r="C94" s="17" t="s">
        <v>262</v>
      </c>
      <c r="D94" s="17" t="s">
        <v>14</v>
      </c>
      <c r="E94" s="17" t="s">
        <v>189</v>
      </c>
      <c r="F94" s="17" t="s">
        <v>269</v>
      </c>
      <c r="G94" s="17" t="s">
        <v>148</v>
      </c>
    </row>
    <row r="95" spans="1:7" x14ac:dyDescent="0.25">
      <c r="A95" s="19">
        <v>1012</v>
      </c>
      <c r="B95" s="17" t="s">
        <v>181</v>
      </c>
      <c r="C95" s="17" t="s">
        <v>262</v>
      </c>
      <c r="D95" s="17" t="s">
        <v>14</v>
      </c>
      <c r="E95" s="17" t="s">
        <v>191</v>
      </c>
      <c r="F95" s="17" t="s">
        <v>270</v>
      </c>
      <c r="G95" s="17" t="s">
        <v>148</v>
      </c>
    </row>
    <row r="96" spans="1:7" x14ac:dyDescent="0.25">
      <c r="A96" s="19">
        <v>1020</v>
      </c>
      <c r="B96" s="17" t="s">
        <v>181</v>
      </c>
      <c r="C96" s="17" t="s">
        <v>262</v>
      </c>
      <c r="D96" s="17" t="s">
        <v>14</v>
      </c>
      <c r="E96" s="17" t="s">
        <v>14</v>
      </c>
      <c r="F96" s="17" t="s">
        <v>271</v>
      </c>
      <c r="G96" s="17" t="s">
        <v>148</v>
      </c>
    </row>
    <row r="97" spans="1:7" x14ac:dyDescent="0.25">
      <c r="A97" s="19">
        <v>2195</v>
      </c>
      <c r="B97" s="17" t="s">
        <v>181</v>
      </c>
      <c r="C97" s="17" t="s">
        <v>262</v>
      </c>
      <c r="D97" s="17" t="s">
        <v>21</v>
      </c>
      <c r="E97" s="17" t="s">
        <v>15</v>
      </c>
      <c r="F97" s="17" t="s">
        <v>272</v>
      </c>
      <c r="G97" s="17" t="s">
        <v>148</v>
      </c>
    </row>
    <row r="98" spans="1:7" x14ac:dyDescent="0.25">
      <c r="A98" s="19">
        <v>2234</v>
      </c>
      <c r="B98" s="17" t="s">
        <v>181</v>
      </c>
      <c r="C98" s="17" t="s">
        <v>262</v>
      </c>
      <c r="D98" s="17" t="s">
        <v>21</v>
      </c>
      <c r="E98" s="17" t="s">
        <v>16</v>
      </c>
      <c r="F98" s="17" t="s">
        <v>273</v>
      </c>
      <c r="G98" s="17" t="s">
        <v>148</v>
      </c>
    </row>
    <row r="99" spans="1:7" x14ac:dyDescent="0.25">
      <c r="A99" s="19">
        <v>2273</v>
      </c>
      <c r="B99" s="17" t="s">
        <v>181</v>
      </c>
      <c r="C99" s="17" t="s">
        <v>262</v>
      </c>
      <c r="D99" s="17" t="s">
        <v>21</v>
      </c>
      <c r="E99" s="17" t="s">
        <v>17</v>
      </c>
      <c r="F99" s="17" t="s">
        <v>274</v>
      </c>
      <c r="G99" s="17" t="s">
        <v>148</v>
      </c>
    </row>
    <row r="100" spans="1:7" x14ac:dyDescent="0.25">
      <c r="A100" s="19">
        <v>2312</v>
      </c>
      <c r="B100" s="17" t="s">
        <v>181</v>
      </c>
      <c r="C100" s="17" t="s">
        <v>262</v>
      </c>
      <c r="D100" s="17" t="s">
        <v>21</v>
      </c>
      <c r="E100" s="17" t="s">
        <v>18</v>
      </c>
      <c r="F100" s="17" t="s">
        <v>275</v>
      </c>
      <c r="G100" s="17" t="s">
        <v>148</v>
      </c>
    </row>
    <row r="101" spans="1:7" x14ac:dyDescent="0.25">
      <c r="A101" s="19">
        <v>2352</v>
      </c>
      <c r="B101" s="17" t="s">
        <v>181</v>
      </c>
      <c r="C101" s="17" t="s">
        <v>262</v>
      </c>
      <c r="D101" s="17" t="s">
        <v>21</v>
      </c>
      <c r="E101" s="17" t="s">
        <v>19</v>
      </c>
      <c r="F101" s="17" t="s">
        <v>276</v>
      </c>
      <c r="G101" s="17" t="s">
        <v>148</v>
      </c>
    </row>
    <row r="102" spans="1:7" x14ac:dyDescent="0.25">
      <c r="A102" s="19">
        <v>2391</v>
      </c>
      <c r="B102" s="17" t="s">
        <v>181</v>
      </c>
      <c r="C102" s="17" t="s">
        <v>262</v>
      </c>
      <c r="D102" s="17" t="s">
        <v>21</v>
      </c>
      <c r="E102" s="17" t="s">
        <v>20</v>
      </c>
      <c r="F102" s="17" t="s">
        <v>277</v>
      </c>
      <c r="G102" s="17" t="s">
        <v>148</v>
      </c>
    </row>
    <row r="103" spans="1:7" x14ac:dyDescent="0.25">
      <c r="A103" s="19">
        <v>1069</v>
      </c>
      <c r="B103" s="17" t="s">
        <v>181</v>
      </c>
      <c r="C103" s="17" t="s">
        <v>262</v>
      </c>
      <c r="D103" s="17" t="s">
        <v>21</v>
      </c>
      <c r="E103" s="17" t="s">
        <v>189</v>
      </c>
      <c r="F103" s="17" t="s">
        <v>278</v>
      </c>
      <c r="G103" s="17" t="s">
        <v>148</v>
      </c>
    </row>
    <row r="104" spans="1:7" x14ac:dyDescent="0.25">
      <c r="A104" s="19">
        <v>1078</v>
      </c>
      <c r="B104" s="17" t="s">
        <v>181</v>
      </c>
      <c r="C104" s="17" t="s">
        <v>262</v>
      </c>
      <c r="D104" s="17" t="s">
        <v>21</v>
      </c>
      <c r="E104" s="17" t="s">
        <v>191</v>
      </c>
      <c r="F104" s="17" t="s">
        <v>279</v>
      </c>
      <c r="G104" s="17" t="s">
        <v>148</v>
      </c>
    </row>
    <row r="105" spans="1:7" x14ac:dyDescent="0.25">
      <c r="A105" s="19">
        <v>1082</v>
      </c>
      <c r="B105" s="17" t="s">
        <v>181</v>
      </c>
      <c r="C105" s="17" t="s">
        <v>262</v>
      </c>
      <c r="D105" s="17" t="s">
        <v>21</v>
      </c>
      <c r="E105" s="17" t="s">
        <v>14</v>
      </c>
      <c r="F105" s="17" t="s">
        <v>280</v>
      </c>
      <c r="G105" s="17" t="s">
        <v>148</v>
      </c>
    </row>
    <row r="106" spans="1:7" x14ac:dyDescent="0.25">
      <c r="A106" s="19">
        <v>2205</v>
      </c>
      <c r="B106" s="17" t="s">
        <v>181</v>
      </c>
      <c r="C106" s="17" t="s">
        <v>262</v>
      </c>
      <c r="D106" s="17" t="s">
        <v>203</v>
      </c>
      <c r="E106" s="17" t="s">
        <v>15</v>
      </c>
      <c r="F106" s="17" t="s">
        <v>281</v>
      </c>
      <c r="G106" s="17" t="s">
        <v>148</v>
      </c>
    </row>
    <row r="107" spans="1:7" x14ac:dyDescent="0.25">
      <c r="A107" s="19">
        <v>2244</v>
      </c>
      <c r="B107" s="17" t="s">
        <v>181</v>
      </c>
      <c r="C107" s="17" t="s">
        <v>262</v>
      </c>
      <c r="D107" s="17" t="s">
        <v>203</v>
      </c>
      <c r="E107" s="17" t="s">
        <v>16</v>
      </c>
      <c r="F107" s="17" t="s">
        <v>282</v>
      </c>
      <c r="G107" s="17" t="s">
        <v>148</v>
      </c>
    </row>
    <row r="108" spans="1:7" x14ac:dyDescent="0.25">
      <c r="A108" s="19">
        <v>2283</v>
      </c>
      <c r="B108" s="17" t="s">
        <v>181</v>
      </c>
      <c r="C108" s="17" t="s">
        <v>262</v>
      </c>
      <c r="D108" s="17" t="s">
        <v>203</v>
      </c>
      <c r="E108" s="17" t="s">
        <v>17</v>
      </c>
      <c r="F108" s="17" t="s">
        <v>283</v>
      </c>
      <c r="G108" s="17" t="s">
        <v>148</v>
      </c>
    </row>
    <row r="109" spans="1:7" x14ac:dyDescent="0.25">
      <c r="A109" s="19">
        <v>2322</v>
      </c>
      <c r="B109" s="17" t="s">
        <v>181</v>
      </c>
      <c r="C109" s="17" t="s">
        <v>262</v>
      </c>
      <c r="D109" s="17" t="s">
        <v>203</v>
      </c>
      <c r="E109" s="17" t="s">
        <v>18</v>
      </c>
      <c r="F109" s="17" t="s">
        <v>284</v>
      </c>
      <c r="G109" s="17" t="s">
        <v>148</v>
      </c>
    </row>
    <row r="110" spans="1:7" x14ac:dyDescent="0.25">
      <c r="A110" s="19">
        <v>2362</v>
      </c>
      <c r="B110" s="17" t="s">
        <v>181</v>
      </c>
      <c r="C110" s="17" t="s">
        <v>262</v>
      </c>
      <c r="D110" s="17" t="s">
        <v>203</v>
      </c>
      <c r="E110" s="17" t="s">
        <v>19</v>
      </c>
      <c r="F110" s="17" t="s">
        <v>285</v>
      </c>
      <c r="G110" s="17" t="s">
        <v>148</v>
      </c>
    </row>
    <row r="111" spans="1:7" x14ac:dyDescent="0.25">
      <c r="A111" s="19">
        <v>2401</v>
      </c>
      <c r="B111" s="17" t="s">
        <v>181</v>
      </c>
      <c r="C111" s="17" t="s">
        <v>262</v>
      </c>
      <c r="D111" s="17" t="s">
        <v>203</v>
      </c>
      <c r="E111" s="17" t="s">
        <v>20</v>
      </c>
      <c r="F111" s="17" t="s">
        <v>286</v>
      </c>
      <c r="G111" s="17" t="s">
        <v>148</v>
      </c>
    </row>
    <row r="112" spans="1:7" x14ac:dyDescent="0.25">
      <c r="A112" s="19">
        <v>2186</v>
      </c>
      <c r="B112" s="17" t="s">
        <v>181</v>
      </c>
      <c r="C112" s="17" t="s">
        <v>287</v>
      </c>
      <c r="D112" s="17" t="s">
        <v>14</v>
      </c>
      <c r="E112" s="17" t="s">
        <v>15</v>
      </c>
      <c r="F112" s="17" t="s">
        <v>183</v>
      </c>
      <c r="G112" s="17" t="s">
        <v>148</v>
      </c>
    </row>
    <row r="113" spans="1:7" x14ac:dyDescent="0.25">
      <c r="A113" s="19">
        <v>2225</v>
      </c>
      <c r="B113" s="17" t="s">
        <v>181</v>
      </c>
      <c r="C113" s="17" t="s">
        <v>287</v>
      </c>
      <c r="D113" s="17" t="s">
        <v>14</v>
      </c>
      <c r="E113" s="17" t="s">
        <v>16</v>
      </c>
      <c r="F113" s="17" t="s">
        <v>184</v>
      </c>
      <c r="G113" s="17" t="s">
        <v>148</v>
      </c>
    </row>
    <row r="114" spans="1:7" x14ac:dyDescent="0.25">
      <c r="A114" s="19">
        <v>2264</v>
      </c>
      <c r="B114" s="17" t="s">
        <v>181</v>
      </c>
      <c r="C114" s="17" t="s">
        <v>287</v>
      </c>
      <c r="D114" s="17" t="s">
        <v>14</v>
      </c>
      <c r="E114" s="17" t="s">
        <v>17</v>
      </c>
      <c r="F114" s="17" t="s">
        <v>185</v>
      </c>
      <c r="G114" s="17" t="s">
        <v>148</v>
      </c>
    </row>
    <row r="115" spans="1:7" x14ac:dyDescent="0.25">
      <c r="A115" s="19">
        <v>2303</v>
      </c>
      <c r="B115" s="17" t="s">
        <v>181</v>
      </c>
      <c r="C115" s="17" t="s">
        <v>287</v>
      </c>
      <c r="D115" s="17" t="s">
        <v>14</v>
      </c>
      <c r="E115" s="17" t="s">
        <v>18</v>
      </c>
      <c r="F115" s="17" t="s">
        <v>186</v>
      </c>
      <c r="G115" s="17" t="s">
        <v>148</v>
      </c>
    </row>
    <row r="116" spans="1:7" x14ac:dyDescent="0.25">
      <c r="A116" s="19">
        <v>2343</v>
      </c>
      <c r="B116" s="17" t="s">
        <v>181</v>
      </c>
      <c r="C116" s="17" t="s">
        <v>287</v>
      </c>
      <c r="D116" s="17" t="s">
        <v>14</v>
      </c>
      <c r="E116" s="17" t="s">
        <v>19</v>
      </c>
      <c r="F116" s="17" t="s">
        <v>187</v>
      </c>
      <c r="G116" s="17" t="s">
        <v>148</v>
      </c>
    </row>
    <row r="117" spans="1:7" x14ac:dyDescent="0.25">
      <c r="A117" s="19">
        <v>2382</v>
      </c>
      <c r="B117" s="17" t="s">
        <v>181</v>
      </c>
      <c r="C117" s="17" t="s">
        <v>287</v>
      </c>
      <c r="D117" s="17" t="s">
        <v>14</v>
      </c>
      <c r="E117" s="17" t="s">
        <v>20</v>
      </c>
      <c r="F117" s="17" t="s">
        <v>188</v>
      </c>
      <c r="G117" s="17" t="s">
        <v>148</v>
      </c>
    </row>
    <row r="118" spans="1:7" x14ac:dyDescent="0.25">
      <c r="A118" s="19">
        <v>435</v>
      </c>
      <c r="B118" s="17" t="s">
        <v>181</v>
      </c>
      <c r="C118" s="17" t="s">
        <v>287</v>
      </c>
      <c r="D118" s="17" t="s">
        <v>14</v>
      </c>
      <c r="E118" s="17" t="s">
        <v>189</v>
      </c>
      <c r="F118" s="17" t="s">
        <v>190</v>
      </c>
      <c r="G118" s="17" t="s">
        <v>148</v>
      </c>
    </row>
    <row r="119" spans="1:7" x14ac:dyDescent="0.25">
      <c r="A119" s="19">
        <v>442</v>
      </c>
      <c r="B119" s="17" t="s">
        <v>181</v>
      </c>
      <c r="C119" s="17" t="s">
        <v>287</v>
      </c>
      <c r="D119" s="17" t="s">
        <v>14</v>
      </c>
      <c r="E119" s="17" t="s">
        <v>191</v>
      </c>
      <c r="F119" s="17" t="s">
        <v>192</v>
      </c>
      <c r="G119" s="17" t="s">
        <v>148</v>
      </c>
    </row>
    <row r="120" spans="1:7" x14ac:dyDescent="0.25">
      <c r="A120" s="19">
        <v>453</v>
      </c>
      <c r="B120" s="17" t="s">
        <v>181</v>
      </c>
      <c r="C120" s="17" t="s">
        <v>287</v>
      </c>
      <c r="D120" s="17" t="s">
        <v>14</v>
      </c>
      <c r="E120" s="17" t="s">
        <v>14</v>
      </c>
      <c r="F120" s="17" t="s">
        <v>193</v>
      </c>
      <c r="G120" s="17" t="s">
        <v>148</v>
      </c>
    </row>
    <row r="121" spans="1:7" x14ac:dyDescent="0.25">
      <c r="A121" s="19">
        <v>517</v>
      </c>
      <c r="B121" s="17" t="s">
        <v>181</v>
      </c>
      <c r="C121" s="17" t="s">
        <v>287</v>
      </c>
      <c r="D121" s="17" t="s">
        <v>14</v>
      </c>
      <c r="E121" s="17" t="s">
        <v>288</v>
      </c>
      <c r="F121" s="17" t="s">
        <v>289</v>
      </c>
      <c r="G121" s="17" t="s">
        <v>148</v>
      </c>
    </row>
    <row r="122" spans="1:7" x14ac:dyDescent="0.25">
      <c r="A122" s="19">
        <v>2196</v>
      </c>
      <c r="B122" s="17" t="s">
        <v>181</v>
      </c>
      <c r="C122" s="17" t="s">
        <v>287</v>
      </c>
      <c r="D122" s="17" t="s">
        <v>21</v>
      </c>
      <c r="E122" s="17" t="s">
        <v>15</v>
      </c>
      <c r="F122" s="17" t="s">
        <v>194</v>
      </c>
      <c r="G122" s="17" t="s">
        <v>148</v>
      </c>
    </row>
    <row r="123" spans="1:7" x14ac:dyDescent="0.25">
      <c r="A123" s="19">
        <v>2235</v>
      </c>
      <c r="B123" s="17" t="s">
        <v>181</v>
      </c>
      <c r="C123" s="17" t="s">
        <v>287</v>
      </c>
      <c r="D123" s="17" t="s">
        <v>21</v>
      </c>
      <c r="E123" s="17" t="s">
        <v>16</v>
      </c>
      <c r="F123" s="17" t="s">
        <v>195</v>
      </c>
      <c r="G123" s="17" t="s">
        <v>148</v>
      </c>
    </row>
    <row r="124" spans="1:7" x14ac:dyDescent="0.25">
      <c r="A124" s="19">
        <v>2274</v>
      </c>
      <c r="B124" s="17" t="s">
        <v>181</v>
      </c>
      <c r="C124" s="17" t="s">
        <v>287</v>
      </c>
      <c r="D124" s="17" t="s">
        <v>21</v>
      </c>
      <c r="E124" s="17" t="s">
        <v>17</v>
      </c>
      <c r="F124" s="17" t="s">
        <v>196</v>
      </c>
      <c r="G124" s="17" t="s">
        <v>148</v>
      </c>
    </row>
    <row r="125" spans="1:7" x14ac:dyDescent="0.25">
      <c r="A125" s="19">
        <v>2313</v>
      </c>
      <c r="B125" s="17" t="s">
        <v>181</v>
      </c>
      <c r="C125" s="17" t="s">
        <v>287</v>
      </c>
      <c r="D125" s="17" t="s">
        <v>21</v>
      </c>
      <c r="E125" s="17" t="s">
        <v>18</v>
      </c>
      <c r="F125" s="17" t="s">
        <v>197</v>
      </c>
      <c r="G125" s="17" t="s">
        <v>148</v>
      </c>
    </row>
    <row r="126" spans="1:7" x14ac:dyDescent="0.25">
      <c r="A126" s="19">
        <v>2353</v>
      </c>
      <c r="B126" s="17" t="s">
        <v>181</v>
      </c>
      <c r="C126" s="17" t="s">
        <v>287</v>
      </c>
      <c r="D126" s="17" t="s">
        <v>21</v>
      </c>
      <c r="E126" s="17" t="s">
        <v>19</v>
      </c>
      <c r="F126" s="17" t="s">
        <v>198</v>
      </c>
      <c r="G126" s="17" t="s">
        <v>148</v>
      </c>
    </row>
    <row r="127" spans="1:7" x14ac:dyDescent="0.25">
      <c r="A127" s="19">
        <v>2392</v>
      </c>
      <c r="B127" s="17" t="s">
        <v>181</v>
      </c>
      <c r="C127" s="17" t="s">
        <v>287</v>
      </c>
      <c r="D127" s="17" t="s">
        <v>21</v>
      </c>
      <c r="E127" s="17" t="s">
        <v>20</v>
      </c>
      <c r="F127" s="17" t="s">
        <v>199</v>
      </c>
      <c r="G127" s="17" t="s">
        <v>148</v>
      </c>
    </row>
    <row r="128" spans="1:7" x14ac:dyDescent="0.25">
      <c r="A128" s="19">
        <v>497</v>
      </c>
      <c r="B128" s="17" t="s">
        <v>181</v>
      </c>
      <c r="C128" s="17" t="s">
        <v>287</v>
      </c>
      <c r="D128" s="17" t="s">
        <v>21</v>
      </c>
      <c r="E128" s="17" t="s">
        <v>189</v>
      </c>
      <c r="F128" s="17" t="s">
        <v>200</v>
      </c>
      <c r="G128" s="17" t="s">
        <v>148</v>
      </c>
    </row>
    <row r="129" spans="1:7" x14ac:dyDescent="0.25">
      <c r="A129" s="19">
        <v>505</v>
      </c>
      <c r="B129" s="17" t="s">
        <v>181</v>
      </c>
      <c r="C129" s="17" t="s">
        <v>287</v>
      </c>
      <c r="D129" s="17" t="s">
        <v>21</v>
      </c>
      <c r="E129" s="17" t="s">
        <v>191</v>
      </c>
      <c r="F129" s="17" t="s">
        <v>201</v>
      </c>
      <c r="G129" s="17" t="s">
        <v>148</v>
      </c>
    </row>
    <row r="130" spans="1:7" x14ac:dyDescent="0.25">
      <c r="A130" s="19">
        <v>516</v>
      </c>
      <c r="B130" s="17" t="s">
        <v>181</v>
      </c>
      <c r="C130" s="17" t="s">
        <v>287</v>
      </c>
      <c r="D130" s="17" t="s">
        <v>21</v>
      </c>
      <c r="E130" s="17" t="s">
        <v>14</v>
      </c>
      <c r="F130" s="17" t="s">
        <v>202</v>
      </c>
      <c r="G130" s="17" t="s">
        <v>148</v>
      </c>
    </row>
    <row r="131" spans="1:7" x14ac:dyDescent="0.25">
      <c r="A131" s="19">
        <v>2206</v>
      </c>
      <c r="B131" s="17" t="s">
        <v>181</v>
      </c>
      <c r="C131" s="17" t="s">
        <v>287</v>
      </c>
      <c r="D131" s="17" t="s">
        <v>203</v>
      </c>
      <c r="E131" s="17" t="s">
        <v>15</v>
      </c>
      <c r="F131" s="17" t="s">
        <v>204</v>
      </c>
      <c r="G131" s="17" t="s">
        <v>148</v>
      </c>
    </row>
    <row r="132" spans="1:7" x14ac:dyDescent="0.25">
      <c r="A132" s="19">
        <v>2216</v>
      </c>
      <c r="B132" s="17" t="s">
        <v>181</v>
      </c>
      <c r="C132" s="17" t="s">
        <v>287</v>
      </c>
      <c r="D132" s="17" t="s">
        <v>203</v>
      </c>
      <c r="E132" s="17" t="s">
        <v>205</v>
      </c>
      <c r="F132" s="17" t="s">
        <v>206</v>
      </c>
      <c r="G132" s="17" t="s">
        <v>148</v>
      </c>
    </row>
    <row r="133" spans="1:7" x14ac:dyDescent="0.25">
      <c r="A133" s="19">
        <v>2219</v>
      </c>
      <c r="B133" s="17" t="s">
        <v>181</v>
      </c>
      <c r="C133" s="17" t="s">
        <v>287</v>
      </c>
      <c r="D133" s="17" t="s">
        <v>203</v>
      </c>
      <c r="E133" s="17" t="s">
        <v>207</v>
      </c>
      <c r="F133" s="17" t="s">
        <v>208</v>
      </c>
      <c r="G133" s="17" t="s">
        <v>148</v>
      </c>
    </row>
    <row r="134" spans="1:7" x14ac:dyDescent="0.25">
      <c r="A134" s="19">
        <v>2245</v>
      </c>
      <c r="B134" s="17" t="s">
        <v>181</v>
      </c>
      <c r="C134" s="17" t="s">
        <v>287</v>
      </c>
      <c r="D134" s="17" t="s">
        <v>203</v>
      </c>
      <c r="E134" s="17" t="s">
        <v>16</v>
      </c>
      <c r="F134" s="17" t="s">
        <v>209</v>
      </c>
      <c r="G134" s="17" t="s">
        <v>148</v>
      </c>
    </row>
    <row r="135" spans="1:7" x14ac:dyDescent="0.25">
      <c r="A135" s="19">
        <v>2255</v>
      </c>
      <c r="B135" s="17" t="s">
        <v>181</v>
      </c>
      <c r="C135" s="17" t="s">
        <v>287</v>
      </c>
      <c r="D135" s="17" t="s">
        <v>203</v>
      </c>
      <c r="E135" s="17" t="s">
        <v>210</v>
      </c>
      <c r="F135" s="17" t="s">
        <v>211</v>
      </c>
      <c r="G135" s="17" t="s">
        <v>148</v>
      </c>
    </row>
    <row r="136" spans="1:7" x14ac:dyDescent="0.25">
      <c r="A136" s="19">
        <v>2258</v>
      </c>
      <c r="B136" s="17" t="s">
        <v>181</v>
      </c>
      <c r="C136" s="17" t="s">
        <v>287</v>
      </c>
      <c r="D136" s="17" t="s">
        <v>203</v>
      </c>
      <c r="E136" s="17" t="s">
        <v>212</v>
      </c>
      <c r="F136" s="17" t="s">
        <v>213</v>
      </c>
      <c r="G136" s="17" t="s">
        <v>148</v>
      </c>
    </row>
    <row r="137" spans="1:7" x14ac:dyDescent="0.25">
      <c r="A137" s="19">
        <v>2284</v>
      </c>
      <c r="B137" s="17" t="s">
        <v>181</v>
      </c>
      <c r="C137" s="17" t="s">
        <v>287</v>
      </c>
      <c r="D137" s="17" t="s">
        <v>203</v>
      </c>
      <c r="E137" s="17" t="s">
        <v>17</v>
      </c>
      <c r="F137" s="17" t="s">
        <v>214</v>
      </c>
      <c r="G137" s="17" t="s">
        <v>148</v>
      </c>
    </row>
    <row r="138" spans="1:7" x14ac:dyDescent="0.25">
      <c r="A138" s="19">
        <v>2294</v>
      </c>
      <c r="B138" s="17" t="s">
        <v>181</v>
      </c>
      <c r="C138" s="17" t="s">
        <v>287</v>
      </c>
      <c r="D138" s="17" t="s">
        <v>203</v>
      </c>
      <c r="E138" s="17" t="s">
        <v>215</v>
      </c>
      <c r="F138" s="17" t="s">
        <v>216</v>
      </c>
      <c r="G138" s="17" t="s">
        <v>148</v>
      </c>
    </row>
    <row r="139" spans="1:7" x14ac:dyDescent="0.25">
      <c r="A139" s="19">
        <v>2297</v>
      </c>
      <c r="B139" s="17" t="s">
        <v>181</v>
      </c>
      <c r="C139" s="17" t="s">
        <v>287</v>
      </c>
      <c r="D139" s="17" t="s">
        <v>203</v>
      </c>
      <c r="E139" s="17" t="s">
        <v>217</v>
      </c>
      <c r="F139" s="17" t="s">
        <v>218</v>
      </c>
      <c r="G139" s="17" t="s">
        <v>148</v>
      </c>
    </row>
    <row r="140" spans="1:7" x14ac:dyDescent="0.25">
      <c r="A140" s="19">
        <v>2323</v>
      </c>
      <c r="B140" s="17" t="s">
        <v>181</v>
      </c>
      <c r="C140" s="17" t="s">
        <v>287</v>
      </c>
      <c r="D140" s="17" t="s">
        <v>203</v>
      </c>
      <c r="E140" s="17" t="s">
        <v>18</v>
      </c>
      <c r="F140" s="17" t="s">
        <v>219</v>
      </c>
      <c r="G140" s="17" t="s">
        <v>148</v>
      </c>
    </row>
    <row r="141" spans="1:7" x14ac:dyDescent="0.25">
      <c r="A141" s="19">
        <v>2334</v>
      </c>
      <c r="B141" s="17" t="s">
        <v>181</v>
      </c>
      <c r="C141" s="17" t="s">
        <v>287</v>
      </c>
      <c r="D141" s="17" t="s">
        <v>203</v>
      </c>
      <c r="E141" s="17" t="s">
        <v>220</v>
      </c>
      <c r="F141" s="17" t="s">
        <v>221</v>
      </c>
      <c r="G141" s="17" t="s">
        <v>148</v>
      </c>
    </row>
    <row r="142" spans="1:7" x14ac:dyDescent="0.25">
      <c r="A142" s="19">
        <v>2337</v>
      </c>
      <c r="B142" s="17" t="s">
        <v>181</v>
      </c>
      <c r="C142" s="17" t="s">
        <v>287</v>
      </c>
      <c r="D142" s="17" t="s">
        <v>203</v>
      </c>
      <c r="E142" s="17" t="s">
        <v>222</v>
      </c>
      <c r="F142" s="17" t="s">
        <v>223</v>
      </c>
      <c r="G142" s="17" t="s">
        <v>148</v>
      </c>
    </row>
    <row r="143" spans="1:7" x14ac:dyDescent="0.25">
      <c r="A143" s="19">
        <v>2363</v>
      </c>
      <c r="B143" s="17" t="s">
        <v>181</v>
      </c>
      <c r="C143" s="17" t="s">
        <v>287</v>
      </c>
      <c r="D143" s="17" t="s">
        <v>203</v>
      </c>
      <c r="E143" s="17" t="s">
        <v>19</v>
      </c>
      <c r="F143" s="17" t="s">
        <v>224</v>
      </c>
      <c r="G143" s="17" t="s">
        <v>148</v>
      </c>
    </row>
    <row r="144" spans="1:7" x14ac:dyDescent="0.25">
      <c r="A144" s="19">
        <v>2373</v>
      </c>
      <c r="B144" s="17" t="s">
        <v>181</v>
      </c>
      <c r="C144" s="17" t="s">
        <v>287</v>
      </c>
      <c r="D144" s="17" t="s">
        <v>203</v>
      </c>
      <c r="E144" s="17" t="s">
        <v>225</v>
      </c>
      <c r="F144" s="17" t="s">
        <v>226</v>
      </c>
      <c r="G144" s="17" t="s">
        <v>148</v>
      </c>
    </row>
    <row r="145" spans="1:7" x14ac:dyDescent="0.25">
      <c r="A145" s="19">
        <v>2376</v>
      </c>
      <c r="B145" s="17" t="s">
        <v>181</v>
      </c>
      <c r="C145" s="17" t="s">
        <v>287</v>
      </c>
      <c r="D145" s="17" t="s">
        <v>203</v>
      </c>
      <c r="E145" s="17" t="s">
        <v>227</v>
      </c>
      <c r="F145" s="17" t="s">
        <v>228</v>
      </c>
      <c r="G145" s="17" t="s">
        <v>148</v>
      </c>
    </row>
    <row r="146" spans="1:7" x14ac:dyDescent="0.25">
      <c r="A146" s="19">
        <v>2402</v>
      </c>
      <c r="B146" s="17" t="s">
        <v>181</v>
      </c>
      <c r="C146" s="17" t="s">
        <v>287</v>
      </c>
      <c r="D146" s="17" t="s">
        <v>203</v>
      </c>
      <c r="E146" s="17" t="s">
        <v>20</v>
      </c>
      <c r="F146" s="17" t="s">
        <v>229</v>
      </c>
      <c r="G146" s="17" t="s">
        <v>148</v>
      </c>
    </row>
    <row r="147" spans="1:7" x14ac:dyDescent="0.25">
      <c r="A147" s="19">
        <v>2412</v>
      </c>
      <c r="B147" s="17" t="s">
        <v>181</v>
      </c>
      <c r="C147" s="17" t="s">
        <v>287</v>
      </c>
      <c r="D147" s="17" t="s">
        <v>203</v>
      </c>
      <c r="E147" s="17" t="s">
        <v>230</v>
      </c>
      <c r="F147" s="17" t="s">
        <v>231</v>
      </c>
      <c r="G147" s="17" t="s">
        <v>148</v>
      </c>
    </row>
    <row r="148" spans="1:7" x14ac:dyDescent="0.25">
      <c r="A148" s="19">
        <v>2415</v>
      </c>
      <c r="B148" s="17" t="s">
        <v>181</v>
      </c>
      <c r="C148" s="17" t="s">
        <v>287</v>
      </c>
      <c r="D148" s="17" t="s">
        <v>203</v>
      </c>
      <c r="E148" s="17" t="s">
        <v>232</v>
      </c>
      <c r="F148" s="17" t="s">
        <v>233</v>
      </c>
      <c r="G148" s="17" t="s">
        <v>148</v>
      </c>
    </row>
    <row r="149" spans="1:7" x14ac:dyDescent="0.25">
      <c r="A149" s="19">
        <v>2187</v>
      </c>
      <c r="B149" s="17" t="s">
        <v>181</v>
      </c>
      <c r="C149" s="17" t="s">
        <v>290</v>
      </c>
      <c r="D149" s="17" t="s">
        <v>14</v>
      </c>
      <c r="E149" s="17" t="s">
        <v>15</v>
      </c>
      <c r="F149" s="17" t="s">
        <v>183</v>
      </c>
      <c r="G149" s="17" t="s">
        <v>148</v>
      </c>
    </row>
    <row r="150" spans="1:7" x14ac:dyDescent="0.25">
      <c r="A150" s="19">
        <v>2226</v>
      </c>
      <c r="B150" s="17" t="s">
        <v>181</v>
      </c>
      <c r="C150" s="17" t="s">
        <v>290</v>
      </c>
      <c r="D150" s="17" t="s">
        <v>14</v>
      </c>
      <c r="E150" s="17" t="s">
        <v>16</v>
      </c>
      <c r="F150" s="17" t="s">
        <v>184</v>
      </c>
      <c r="G150" s="17" t="s">
        <v>148</v>
      </c>
    </row>
    <row r="151" spans="1:7" x14ac:dyDescent="0.25">
      <c r="A151" s="19">
        <v>2265</v>
      </c>
      <c r="B151" s="17" t="s">
        <v>181</v>
      </c>
      <c r="C151" s="17" t="s">
        <v>290</v>
      </c>
      <c r="D151" s="17" t="s">
        <v>14</v>
      </c>
      <c r="E151" s="17" t="s">
        <v>17</v>
      </c>
      <c r="F151" s="17" t="s">
        <v>185</v>
      </c>
      <c r="G151" s="17" t="s">
        <v>148</v>
      </c>
    </row>
    <row r="152" spans="1:7" x14ac:dyDescent="0.25">
      <c r="A152" s="19">
        <v>2304</v>
      </c>
      <c r="B152" s="17" t="s">
        <v>181</v>
      </c>
      <c r="C152" s="17" t="s">
        <v>290</v>
      </c>
      <c r="D152" s="17" t="s">
        <v>14</v>
      </c>
      <c r="E152" s="17" t="s">
        <v>18</v>
      </c>
      <c r="F152" s="17" t="s">
        <v>186</v>
      </c>
      <c r="G152" s="17" t="s">
        <v>148</v>
      </c>
    </row>
    <row r="153" spans="1:7" x14ac:dyDescent="0.25">
      <c r="A153" s="19">
        <v>2332</v>
      </c>
      <c r="B153" s="17" t="s">
        <v>181</v>
      </c>
      <c r="C153" s="17" t="s">
        <v>290</v>
      </c>
      <c r="D153" s="17" t="s">
        <v>14</v>
      </c>
      <c r="E153" s="17" t="s">
        <v>291</v>
      </c>
      <c r="F153" s="17" t="s">
        <v>292</v>
      </c>
      <c r="G153" s="17" t="s">
        <v>148</v>
      </c>
    </row>
    <row r="154" spans="1:7" x14ac:dyDescent="0.25">
      <c r="A154" s="19">
        <v>2344</v>
      </c>
      <c r="B154" s="17" t="s">
        <v>181</v>
      </c>
      <c r="C154" s="17" t="s">
        <v>290</v>
      </c>
      <c r="D154" s="17" t="s">
        <v>14</v>
      </c>
      <c r="E154" s="17" t="s">
        <v>19</v>
      </c>
      <c r="F154" s="17" t="s">
        <v>187</v>
      </c>
      <c r="G154" s="17" t="s">
        <v>148</v>
      </c>
    </row>
    <row r="155" spans="1:7" x14ac:dyDescent="0.25">
      <c r="A155" s="19">
        <v>2383</v>
      </c>
      <c r="B155" s="17" t="s">
        <v>181</v>
      </c>
      <c r="C155" s="17" t="s">
        <v>290</v>
      </c>
      <c r="D155" s="17" t="s">
        <v>14</v>
      </c>
      <c r="E155" s="17" t="s">
        <v>20</v>
      </c>
      <c r="F155" s="17" t="s">
        <v>188</v>
      </c>
      <c r="G155" s="17" t="s">
        <v>148</v>
      </c>
    </row>
    <row r="156" spans="1:7" x14ac:dyDescent="0.25">
      <c r="A156" s="19">
        <v>1530</v>
      </c>
      <c r="B156" s="17" t="s">
        <v>181</v>
      </c>
      <c r="C156" s="17" t="s">
        <v>290</v>
      </c>
      <c r="D156" s="17" t="s">
        <v>14</v>
      </c>
      <c r="E156" s="17" t="s">
        <v>189</v>
      </c>
      <c r="F156" s="17" t="s">
        <v>190</v>
      </c>
      <c r="G156" s="17" t="s">
        <v>148</v>
      </c>
    </row>
    <row r="157" spans="1:7" x14ac:dyDescent="0.25">
      <c r="A157" s="19">
        <v>1538</v>
      </c>
      <c r="B157" s="17" t="s">
        <v>181</v>
      </c>
      <c r="C157" s="17" t="s">
        <v>290</v>
      </c>
      <c r="D157" s="17" t="s">
        <v>14</v>
      </c>
      <c r="E157" s="17" t="s">
        <v>191</v>
      </c>
      <c r="F157" s="17" t="s">
        <v>192</v>
      </c>
      <c r="G157" s="17" t="s">
        <v>148</v>
      </c>
    </row>
    <row r="158" spans="1:7" x14ac:dyDescent="0.25">
      <c r="A158" s="19">
        <v>1548</v>
      </c>
      <c r="B158" s="17" t="s">
        <v>181</v>
      </c>
      <c r="C158" s="17" t="s">
        <v>290</v>
      </c>
      <c r="D158" s="17" t="s">
        <v>14</v>
      </c>
      <c r="E158" s="17" t="s">
        <v>14</v>
      </c>
      <c r="F158" s="17" t="s">
        <v>193</v>
      </c>
      <c r="G158" s="17" t="s">
        <v>148</v>
      </c>
    </row>
    <row r="159" spans="1:7" x14ac:dyDescent="0.25">
      <c r="A159" s="19">
        <v>2197</v>
      </c>
      <c r="B159" s="17" t="s">
        <v>181</v>
      </c>
      <c r="C159" s="17" t="s">
        <v>290</v>
      </c>
      <c r="D159" s="17" t="s">
        <v>21</v>
      </c>
      <c r="E159" s="17" t="s">
        <v>15</v>
      </c>
      <c r="F159" s="17" t="s">
        <v>194</v>
      </c>
      <c r="G159" s="17" t="s">
        <v>148</v>
      </c>
    </row>
    <row r="160" spans="1:7" x14ac:dyDescent="0.25">
      <c r="A160" s="19">
        <v>2236</v>
      </c>
      <c r="B160" s="17" t="s">
        <v>181</v>
      </c>
      <c r="C160" s="17" t="s">
        <v>290</v>
      </c>
      <c r="D160" s="17" t="s">
        <v>21</v>
      </c>
      <c r="E160" s="17" t="s">
        <v>16</v>
      </c>
      <c r="F160" s="17" t="s">
        <v>195</v>
      </c>
      <c r="G160" s="17" t="s">
        <v>148</v>
      </c>
    </row>
    <row r="161" spans="1:7" x14ac:dyDescent="0.25">
      <c r="A161" s="19">
        <v>2275</v>
      </c>
      <c r="B161" s="17" t="s">
        <v>181</v>
      </c>
      <c r="C161" s="17" t="s">
        <v>290</v>
      </c>
      <c r="D161" s="17" t="s">
        <v>21</v>
      </c>
      <c r="E161" s="17" t="s">
        <v>17</v>
      </c>
      <c r="F161" s="17" t="s">
        <v>196</v>
      </c>
      <c r="G161" s="17" t="s">
        <v>148</v>
      </c>
    </row>
    <row r="162" spans="1:7" x14ac:dyDescent="0.25">
      <c r="A162" s="19">
        <v>2314</v>
      </c>
      <c r="B162" s="17" t="s">
        <v>181</v>
      </c>
      <c r="C162" s="17" t="s">
        <v>290</v>
      </c>
      <c r="D162" s="17" t="s">
        <v>21</v>
      </c>
      <c r="E162" s="17" t="s">
        <v>18</v>
      </c>
      <c r="F162" s="17" t="s">
        <v>197</v>
      </c>
      <c r="G162" s="17" t="s">
        <v>148</v>
      </c>
    </row>
    <row r="163" spans="1:7" x14ac:dyDescent="0.25">
      <c r="A163" s="19">
        <v>2354</v>
      </c>
      <c r="B163" s="17" t="s">
        <v>181</v>
      </c>
      <c r="C163" s="17" t="s">
        <v>290</v>
      </c>
      <c r="D163" s="17" t="s">
        <v>21</v>
      </c>
      <c r="E163" s="17" t="s">
        <v>19</v>
      </c>
      <c r="F163" s="17" t="s">
        <v>198</v>
      </c>
      <c r="G163" s="17" t="s">
        <v>148</v>
      </c>
    </row>
    <row r="164" spans="1:7" x14ac:dyDescent="0.25">
      <c r="A164" s="19">
        <v>2393</v>
      </c>
      <c r="B164" s="17" t="s">
        <v>181</v>
      </c>
      <c r="C164" s="17" t="s">
        <v>290</v>
      </c>
      <c r="D164" s="17" t="s">
        <v>21</v>
      </c>
      <c r="E164" s="17" t="s">
        <v>20</v>
      </c>
      <c r="F164" s="17" t="s">
        <v>199</v>
      </c>
      <c r="G164" s="17" t="s">
        <v>148</v>
      </c>
    </row>
    <row r="165" spans="1:7" x14ac:dyDescent="0.25">
      <c r="A165" s="19">
        <v>1594</v>
      </c>
      <c r="B165" s="17" t="s">
        <v>181</v>
      </c>
      <c r="C165" s="17" t="s">
        <v>290</v>
      </c>
      <c r="D165" s="17" t="s">
        <v>21</v>
      </c>
      <c r="E165" s="17" t="s">
        <v>189</v>
      </c>
      <c r="F165" s="17" t="s">
        <v>200</v>
      </c>
      <c r="G165" s="17" t="s">
        <v>148</v>
      </c>
    </row>
    <row r="166" spans="1:7" x14ac:dyDescent="0.25">
      <c r="A166" s="19">
        <v>1605</v>
      </c>
      <c r="B166" s="17" t="s">
        <v>181</v>
      </c>
      <c r="C166" s="17" t="s">
        <v>290</v>
      </c>
      <c r="D166" s="17" t="s">
        <v>21</v>
      </c>
      <c r="E166" s="17" t="s">
        <v>191</v>
      </c>
      <c r="F166" s="17" t="s">
        <v>201</v>
      </c>
      <c r="G166" s="17" t="s">
        <v>148</v>
      </c>
    </row>
    <row r="167" spans="1:7" x14ac:dyDescent="0.25">
      <c r="A167" s="19">
        <v>1613</v>
      </c>
      <c r="B167" s="17" t="s">
        <v>181</v>
      </c>
      <c r="C167" s="17" t="s">
        <v>290</v>
      </c>
      <c r="D167" s="17" t="s">
        <v>21</v>
      </c>
      <c r="E167" s="17" t="s">
        <v>14</v>
      </c>
      <c r="F167" s="17" t="s">
        <v>202</v>
      </c>
      <c r="G167" s="17" t="s">
        <v>148</v>
      </c>
    </row>
    <row r="168" spans="1:7" x14ac:dyDescent="0.25">
      <c r="A168" s="19">
        <v>2207</v>
      </c>
      <c r="B168" s="17" t="s">
        <v>181</v>
      </c>
      <c r="C168" s="17" t="s">
        <v>290</v>
      </c>
      <c r="D168" s="17" t="s">
        <v>203</v>
      </c>
      <c r="E168" s="17" t="s">
        <v>15</v>
      </c>
      <c r="F168" s="17" t="s">
        <v>204</v>
      </c>
      <c r="G168" s="17" t="s">
        <v>148</v>
      </c>
    </row>
    <row r="169" spans="1:7" x14ac:dyDescent="0.25">
      <c r="A169" s="19">
        <v>2213</v>
      </c>
      <c r="B169" s="17" t="s">
        <v>181</v>
      </c>
      <c r="C169" s="17" t="s">
        <v>290</v>
      </c>
      <c r="D169" s="17" t="s">
        <v>203</v>
      </c>
      <c r="E169" s="17" t="s">
        <v>293</v>
      </c>
      <c r="F169" s="17" t="s">
        <v>206</v>
      </c>
      <c r="G169" s="17" t="s">
        <v>148</v>
      </c>
    </row>
    <row r="170" spans="1:7" x14ac:dyDescent="0.25">
      <c r="A170" s="19">
        <v>2214</v>
      </c>
      <c r="B170" s="17" t="s">
        <v>181</v>
      </c>
      <c r="C170" s="17" t="s">
        <v>290</v>
      </c>
      <c r="D170" s="17" t="s">
        <v>203</v>
      </c>
      <c r="E170" s="17" t="s">
        <v>294</v>
      </c>
      <c r="F170" s="17" t="s">
        <v>208</v>
      </c>
      <c r="G170" s="17" t="s">
        <v>148</v>
      </c>
    </row>
    <row r="171" spans="1:7" x14ac:dyDescent="0.25">
      <c r="A171" s="19">
        <v>2246</v>
      </c>
      <c r="B171" s="17" t="s">
        <v>181</v>
      </c>
      <c r="C171" s="17" t="s">
        <v>290</v>
      </c>
      <c r="D171" s="17" t="s">
        <v>203</v>
      </c>
      <c r="E171" s="17" t="s">
        <v>16</v>
      </c>
      <c r="F171" s="17" t="s">
        <v>209</v>
      </c>
      <c r="G171" s="17" t="s">
        <v>148</v>
      </c>
    </row>
    <row r="172" spans="1:7" x14ac:dyDescent="0.25">
      <c r="A172" s="19">
        <v>2252</v>
      </c>
      <c r="B172" s="17" t="s">
        <v>181</v>
      </c>
      <c r="C172" s="17" t="s">
        <v>290</v>
      </c>
      <c r="D172" s="17" t="s">
        <v>203</v>
      </c>
      <c r="E172" s="17" t="s">
        <v>295</v>
      </c>
      <c r="F172" s="17" t="s">
        <v>211</v>
      </c>
      <c r="G172" s="17" t="s">
        <v>148</v>
      </c>
    </row>
    <row r="173" spans="1:7" x14ac:dyDescent="0.25">
      <c r="A173" s="19">
        <v>2253</v>
      </c>
      <c r="B173" s="17" t="s">
        <v>181</v>
      </c>
      <c r="C173" s="17" t="s">
        <v>290</v>
      </c>
      <c r="D173" s="17" t="s">
        <v>203</v>
      </c>
      <c r="E173" s="17" t="s">
        <v>296</v>
      </c>
      <c r="F173" s="17" t="s">
        <v>213</v>
      </c>
      <c r="G173" s="17" t="s">
        <v>148</v>
      </c>
    </row>
    <row r="174" spans="1:7" x14ac:dyDescent="0.25">
      <c r="A174" s="19">
        <v>2285</v>
      </c>
      <c r="B174" s="17" t="s">
        <v>181</v>
      </c>
      <c r="C174" s="17" t="s">
        <v>290</v>
      </c>
      <c r="D174" s="17" t="s">
        <v>203</v>
      </c>
      <c r="E174" s="17" t="s">
        <v>17</v>
      </c>
      <c r="F174" s="17" t="s">
        <v>214</v>
      </c>
      <c r="G174" s="17" t="s">
        <v>148</v>
      </c>
    </row>
    <row r="175" spans="1:7" x14ac:dyDescent="0.25">
      <c r="A175" s="19">
        <v>2291</v>
      </c>
      <c r="B175" s="17" t="s">
        <v>181</v>
      </c>
      <c r="C175" s="17" t="s">
        <v>290</v>
      </c>
      <c r="D175" s="17" t="s">
        <v>203</v>
      </c>
      <c r="E175" s="17" t="s">
        <v>297</v>
      </c>
      <c r="F175" s="17" t="s">
        <v>216</v>
      </c>
      <c r="G175" s="17" t="s">
        <v>148</v>
      </c>
    </row>
    <row r="176" spans="1:7" x14ac:dyDescent="0.25">
      <c r="A176" s="19">
        <v>2292</v>
      </c>
      <c r="B176" s="17" t="s">
        <v>181</v>
      </c>
      <c r="C176" s="17" t="s">
        <v>290</v>
      </c>
      <c r="D176" s="17" t="s">
        <v>203</v>
      </c>
      <c r="E176" s="17" t="s">
        <v>298</v>
      </c>
      <c r="F176" s="17" t="s">
        <v>218</v>
      </c>
      <c r="G176" s="17" t="s">
        <v>148</v>
      </c>
    </row>
    <row r="177" spans="1:7" x14ac:dyDescent="0.25">
      <c r="A177" s="19">
        <v>2324</v>
      </c>
      <c r="B177" s="17" t="s">
        <v>181</v>
      </c>
      <c r="C177" s="17" t="s">
        <v>290</v>
      </c>
      <c r="D177" s="17" t="s">
        <v>203</v>
      </c>
      <c r="E177" s="17" t="s">
        <v>18</v>
      </c>
      <c r="F177" s="17" t="s">
        <v>219</v>
      </c>
      <c r="G177" s="17" t="s">
        <v>148</v>
      </c>
    </row>
    <row r="178" spans="1:7" x14ac:dyDescent="0.25">
      <c r="A178" s="19">
        <v>2330</v>
      </c>
      <c r="B178" s="17" t="s">
        <v>181</v>
      </c>
      <c r="C178" s="17" t="s">
        <v>290</v>
      </c>
      <c r="D178" s="17" t="s">
        <v>203</v>
      </c>
      <c r="E178" s="17" t="s">
        <v>299</v>
      </c>
      <c r="F178" s="17" t="s">
        <v>221</v>
      </c>
      <c r="G178" s="17" t="s">
        <v>148</v>
      </c>
    </row>
    <row r="179" spans="1:7" x14ac:dyDescent="0.25">
      <c r="A179" s="19">
        <v>2331</v>
      </c>
      <c r="B179" s="17" t="s">
        <v>181</v>
      </c>
      <c r="C179" s="17" t="s">
        <v>290</v>
      </c>
      <c r="D179" s="17" t="s">
        <v>203</v>
      </c>
      <c r="E179" s="17" t="s">
        <v>300</v>
      </c>
      <c r="F179" s="17" t="s">
        <v>223</v>
      </c>
      <c r="G179" s="17" t="s">
        <v>148</v>
      </c>
    </row>
    <row r="180" spans="1:7" x14ac:dyDescent="0.25">
      <c r="A180" s="19">
        <v>2364</v>
      </c>
      <c r="B180" s="17" t="s">
        <v>181</v>
      </c>
      <c r="C180" s="17" t="s">
        <v>290</v>
      </c>
      <c r="D180" s="17" t="s">
        <v>203</v>
      </c>
      <c r="E180" s="17" t="s">
        <v>19</v>
      </c>
      <c r="F180" s="17" t="s">
        <v>224</v>
      </c>
      <c r="G180" s="17" t="s">
        <v>148</v>
      </c>
    </row>
    <row r="181" spans="1:7" x14ac:dyDescent="0.25">
      <c r="A181" s="19">
        <v>2370</v>
      </c>
      <c r="B181" s="17" t="s">
        <v>181</v>
      </c>
      <c r="C181" s="17" t="s">
        <v>290</v>
      </c>
      <c r="D181" s="17" t="s">
        <v>203</v>
      </c>
      <c r="E181" s="17" t="s">
        <v>301</v>
      </c>
      <c r="F181" s="17" t="s">
        <v>226</v>
      </c>
      <c r="G181" s="17" t="s">
        <v>148</v>
      </c>
    </row>
    <row r="182" spans="1:7" x14ac:dyDescent="0.25">
      <c r="A182" s="19">
        <v>2371</v>
      </c>
      <c r="B182" s="17" t="s">
        <v>181</v>
      </c>
      <c r="C182" s="17" t="s">
        <v>290</v>
      </c>
      <c r="D182" s="17" t="s">
        <v>203</v>
      </c>
      <c r="E182" s="17" t="s">
        <v>302</v>
      </c>
      <c r="F182" s="17" t="s">
        <v>228</v>
      </c>
      <c r="G182" s="17" t="s">
        <v>148</v>
      </c>
    </row>
    <row r="183" spans="1:7" x14ac:dyDescent="0.25">
      <c r="A183" s="19">
        <v>2403</v>
      </c>
      <c r="B183" s="17" t="s">
        <v>181</v>
      </c>
      <c r="C183" s="17" t="s">
        <v>290</v>
      </c>
      <c r="D183" s="17" t="s">
        <v>203</v>
      </c>
      <c r="E183" s="17" t="s">
        <v>20</v>
      </c>
      <c r="F183" s="17" t="s">
        <v>229</v>
      </c>
      <c r="G183" s="17" t="s">
        <v>148</v>
      </c>
    </row>
    <row r="184" spans="1:7" x14ac:dyDescent="0.25">
      <c r="A184" s="19">
        <v>2409</v>
      </c>
      <c r="B184" s="17" t="s">
        <v>181</v>
      </c>
      <c r="C184" s="17" t="s">
        <v>290</v>
      </c>
      <c r="D184" s="17" t="s">
        <v>203</v>
      </c>
      <c r="E184" s="17" t="s">
        <v>303</v>
      </c>
      <c r="F184" s="17" t="s">
        <v>231</v>
      </c>
      <c r="G184" s="17" t="s">
        <v>148</v>
      </c>
    </row>
    <row r="185" spans="1:7" x14ac:dyDescent="0.25">
      <c r="A185" s="19">
        <v>2410</v>
      </c>
      <c r="B185" s="17" t="s">
        <v>181</v>
      </c>
      <c r="C185" s="17" t="s">
        <v>290</v>
      </c>
      <c r="D185" s="17" t="s">
        <v>203</v>
      </c>
      <c r="E185" s="17" t="s">
        <v>304</v>
      </c>
      <c r="F185" s="17" t="s">
        <v>233</v>
      </c>
      <c r="G185" s="17" t="s">
        <v>148</v>
      </c>
    </row>
    <row r="186" spans="1:7" x14ac:dyDescent="0.25">
      <c r="A186" s="19">
        <v>2188</v>
      </c>
      <c r="B186" s="17" t="s">
        <v>181</v>
      </c>
      <c r="C186" s="17" t="s">
        <v>305</v>
      </c>
      <c r="D186" s="17" t="s">
        <v>14</v>
      </c>
      <c r="E186" s="17" t="s">
        <v>15</v>
      </c>
      <c r="F186" s="17" t="s">
        <v>306</v>
      </c>
      <c r="G186" s="17" t="s">
        <v>148</v>
      </c>
    </row>
    <row r="187" spans="1:7" x14ac:dyDescent="0.25">
      <c r="A187" s="19">
        <v>2227</v>
      </c>
      <c r="B187" s="17" t="s">
        <v>181</v>
      </c>
      <c r="C187" s="17" t="s">
        <v>305</v>
      </c>
      <c r="D187" s="17" t="s">
        <v>14</v>
      </c>
      <c r="E187" s="17" t="s">
        <v>16</v>
      </c>
      <c r="F187" s="17" t="s">
        <v>307</v>
      </c>
      <c r="G187" s="17" t="s">
        <v>148</v>
      </c>
    </row>
    <row r="188" spans="1:7" x14ac:dyDescent="0.25">
      <c r="A188" s="19">
        <v>2266</v>
      </c>
      <c r="B188" s="17" t="s">
        <v>181</v>
      </c>
      <c r="C188" s="17" t="s">
        <v>305</v>
      </c>
      <c r="D188" s="17" t="s">
        <v>14</v>
      </c>
      <c r="E188" s="17" t="s">
        <v>17</v>
      </c>
      <c r="F188" s="17" t="s">
        <v>308</v>
      </c>
      <c r="G188" s="17" t="s">
        <v>148</v>
      </c>
    </row>
    <row r="189" spans="1:7" x14ac:dyDescent="0.25">
      <c r="A189" s="19">
        <v>2305</v>
      </c>
      <c r="B189" s="17" t="s">
        <v>181</v>
      </c>
      <c r="C189" s="17" t="s">
        <v>305</v>
      </c>
      <c r="D189" s="17" t="s">
        <v>14</v>
      </c>
      <c r="E189" s="17" t="s">
        <v>18</v>
      </c>
      <c r="F189" s="17" t="s">
        <v>238</v>
      </c>
      <c r="G189" s="17" t="s">
        <v>148</v>
      </c>
    </row>
    <row r="190" spans="1:7" x14ac:dyDescent="0.25">
      <c r="A190" s="19">
        <v>2345</v>
      </c>
      <c r="B190" s="17" t="s">
        <v>181</v>
      </c>
      <c r="C190" s="17" t="s">
        <v>305</v>
      </c>
      <c r="D190" s="17" t="s">
        <v>14</v>
      </c>
      <c r="E190" s="17" t="s">
        <v>19</v>
      </c>
      <c r="F190" s="17" t="s">
        <v>239</v>
      </c>
      <c r="G190" s="17" t="s">
        <v>148</v>
      </c>
    </row>
    <row r="191" spans="1:7" x14ac:dyDescent="0.25">
      <c r="A191" s="19">
        <v>2384</v>
      </c>
      <c r="B191" s="17" t="s">
        <v>181</v>
      </c>
      <c r="C191" s="17" t="s">
        <v>305</v>
      </c>
      <c r="D191" s="17" t="s">
        <v>14</v>
      </c>
      <c r="E191" s="17" t="s">
        <v>20</v>
      </c>
      <c r="F191" s="17" t="s">
        <v>309</v>
      </c>
      <c r="G191" s="17" t="s">
        <v>148</v>
      </c>
    </row>
    <row r="192" spans="1:7" x14ac:dyDescent="0.25">
      <c r="A192" s="19">
        <v>756</v>
      </c>
      <c r="B192" s="17" t="s">
        <v>181</v>
      </c>
      <c r="C192" s="17" t="s">
        <v>305</v>
      </c>
      <c r="D192" s="17" t="s">
        <v>14</v>
      </c>
      <c r="E192" s="17" t="s">
        <v>189</v>
      </c>
      <c r="F192" s="17" t="s">
        <v>310</v>
      </c>
      <c r="G192" s="17" t="s">
        <v>148</v>
      </c>
    </row>
    <row r="193" spans="1:7" x14ac:dyDescent="0.25">
      <c r="A193" s="19">
        <v>765</v>
      </c>
      <c r="B193" s="17" t="s">
        <v>181</v>
      </c>
      <c r="C193" s="17" t="s">
        <v>305</v>
      </c>
      <c r="D193" s="17" t="s">
        <v>14</v>
      </c>
      <c r="E193" s="17" t="s">
        <v>191</v>
      </c>
      <c r="F193" s="17" t="s">
        <v>311</v>
      </c>
      <c r="G193" s="17" t="s">
        <v>148</v>
      </c>
    </row>
    <row r="194" spans="1:7" x14ac:dyDescent="0.25">
      <c r="A194" s="19">
        <v>767</v>
      </c>
      <c r="B194" s="17" t="s">
        <v>181</v>
      </c>
      <c r="C194" s="17" t="s">
        <v>305</v>
      </c>
      <c r="D194" s="17" t="s">
        <v>14</v>
      </c>
      <c r="E194" s="17" t="s">
        <v>14</v>
      </c>
      <c r="F194" s="17" t="s">
        <v>312</v>
      </c>
      <c r="G194" s="17" t="s">
        <v>148</v>
      </c>
    </row>
    <row r="195" spans="1:7" x14ac:dyDescent="0.25">
      <c r="A195" s="19">
        <v>2198</v>
      </c>
      <c r="B195" s="17" t="s">
        <v>181</v>
      </c>
      <c r="C195" s="17" t="s">
        <v>305</v>
      </c>
      <c r="D195" s="17" t="s">
        <v>21</v>
      </c>
      <c r="E195" s="17" t="s">
        <v>15</v>
      </c>
      <c r="F195" s="17" t="s">
        <v>313</v>
      </c>
      <c r="G195" s="17" t="s">
        <v>148</v>
      </c>
    </row>
    <row r="196" spans="1:7" x14ac:dyDescent="0.25">
      <c r="A196" s="19">
        <v>2237</v>
      </c>
      <c r="B196" s="17" t="s">
        <v>181</v>
      </c>
      <c r="C196" s="17" t="s">
        <v>305</v>
      </c>
      <c r="D196" s="17" t="s">
        <v>21</v>
      </c>
      <c r="E196" s="17" t="s">
        <v>16</v>
      </c>
      <c r="F196" s="17" t="s">
        <v>314</v>
      </c>
      <c r="G196" s="17" t="s">
        <v>148</v>
      </c>
    </row>
    <row r="197" spans="1:7" x14ac:dyDescent="0.25">
      <c r="A197" s="19">
        <v>2276</v>
      </c>
      <c r="B197" s="17" t="s">
        <v>181</v>
      </c>
      <c r="C197" s="17" t="s">
        <v>305</v>
      </c>
      <c r="D197" s="17" t="s">
        <v>21</v>
      </c>
      <c r="E197" s="17" t="s">
        <v>17</v>
      </c>
      <c r="F197" s="17" t="s">
        <v>315</v>
      </c>
      <c r="G197" s="17" t="s">
        <v>148</v>
      </c>
    </row>
    <row r="198" spans="1:7" x14ac:dyDescent="0.25">
      <c r="A198" s="19">
        <v>2315</v>
      </c>
      <c r="B198" s="17" t="s">
        <v>181</v>
      </c>
      <c r="C198" s="17" t="s">
        <v>305</v>
      </c>
      <c r="D198" s="17" t="s">
        <v>21</v>
      </c>
      <c r="E198" s="17" t="s">
        <v>18</v>
      </c>
      <c r="F198" s="17" t="s">
        <v>316</v>
      </c>
      <c r="G198" s="17" t="s">
        <v>148</v>
      </c>
    </row>
    <row r="199" spans="1:7" x14ac:dyDescent="0.25">
      <c r="A199" s="19">
        <v>2355</v>
      </c>
      <c r="B199" s="17" t="s">
        <v>181</v>
      </c>
      <c r="C199" s="17" t="s">
        <v>305</v>
      </c>
      <c r="D199" s="17" t="s">
        <v>21</v>
      </c>
      <c r="E199" s="17" t="s">
        <v>19</v>
      </c>
      <c r="F199" s="17" t="s">
        <v>317</v>
      </c>
      <c r="G199" s="17" t="s">
        <v>148</v>
      </c>
    </row>
    <row r="200" spans="1:7" x14ac:dyDescent="0.25">
      <c r="A200" s="19">
        <v>2394</v>
      </c>
      <c r="B200" s="17" t="s">
        <v>181</v>
      </c>
      <c r="C200" s="17" t="s">
        <v>305</v>
      </c>
      <c r="D200" s="17" t="s">
        <v>21</v>
      </c>
      <c r="E200" s="17" t="s">
        <v>20</v>
      </c>
      <c r="F200" s="17" t="s">
        <v>318</v>
      </c>
      <c r="G200" s="17" t="s">
        <v>148</v>
      </c>
    </row>
    <row r="201" spans="1:7" x14ac:dyDescent="0.25">
      <c r="A201" s="19">
        <v>821</v>
      </c>
      <c r="B201" s="17" t="s">
        <v>181</v>
      </c>
      <c r="C201" s="17" t="s">
        <v>305</v>
      </c>
      <c r="D201" s="17" t="s">
        <v>21</v>
      </c>
      <c r="E201" s="17" t="s">
        <v>189</v>
      </c>
      <c r="F201" s="17" t="s">
        <v>319</v>
      </c>
      <c r="G201" s="17" t="s">
        <v>148</v>
      </c>
    </row>
    <row r="202" spans="1:7" x14ac:dyDescent="0.25">
      <c r="A202" s="19">
        <v>823</v>
      </c>
      <c r="B202" s="17" t="s">
        <v>181</v>
      </c>
      <c r="C202" s="17" t="s">
        <v>305</v>
      </c>
      <c r="D202" s="17" t="s">
        <v>21</v>
      </c>
      <c r="E202" s="17" t="s">
        <v>191</v>
      </c>
      <c r="F202" s="17" t="s">
        <v>320</v>
      </c>
      <c r="G202" s="17" t="s">
        <v>148</v>
      </c>
    </row>
    <row r="203" spans="1:7" x14ac:dyDescent="0.25">
      <c r="A203" s="19">
        <v>834</v>
      </c>
      <c r="B203" s="17" t="s">
        <v>181</v>
      </c>
      <c r="C203" s="17" t="s">
        <v>305</v>
      </c>
      <c r="D203" s="17" t="s">
        <v>21</v>
      </c>
      <c r="E203" s="17" t="s">
        <v>14</v>
      </c>
      <c r="F203" s="17" t="s">
        <v>321</v>
      </c>
      <c r="G203" s="17" t="s">
        <v>148</v>
      </c>
    </row>
    <row r="204" spans="1:7" x14ac:dyDescent="0.25">
      <c r="A204" s="19">
        <v>2208</v>
      </c>
      <c r="B204" s="17" t="s">
        <v>181</v>
      </c>
      <c r="C204" s="17" t="s">
        <v>305</v>
      </c>
      <c r="D204" s="17" t="s">
        <v>203</v>
      </c>
      <c r="E204" s="17" t="s">
        <v>15</v>
      </c>
      <c r="F204" s="17" t="s">
        <v>322</v>
      </c>
      <c r="G204" s="17" t="s">
        <v>148</v>
      </c>
    </row>
    <row r="205" spans="1:7" x14ac:dyDescent="0.25">
      <c r="A205" s="19">
        <v>2220</v>
      </c>
      <c r="B205" s="17" t="s">
        <v>181</v>
      </c>
      <c r="C205" s="17" t="s">
        <v>305</v>
      </c>
      <c r="D205" s="17" t="s">
        <v>203</v>
      </c>
      <c r="E205" s="17" t="s">
        <v>207</v>
      </c>
      <c r="F205" s="17" t="s">
        <v>251</v>
      </c>
      <c r="G205" s="17" t="s">
        <v>148</v>
      </c>
    </row>
    <row r="206" spans="1:7" x14ac:dyDescent="0.25">
      <c r="A206" s="19">
        <v>2247</v>
      </c>
      <c r="B206" s="17" t="s">
        <v>181</v>
      </c>
      <c r="C206" s="17" t="s">
        <v>305</v>
      </c>
      <c r="D206" s="17" t="s">
        <v>203</v>
      </c>
      <c r="E206" s="17" t="s">
        <v>16</v>
      </c>
      <c r="F206" s="17" t="s">
        <v>323</v>
      </c>
      <c r="G206" s="17" t="s">
        <v>148</v>
      </c>
    </row>
    <row r="207" spans="1:7" x14ac:dyDescent="0.25">
      <c r="A207" s="19">
        <v>2259</v>
      </c>
      <c r="B207" s="17" t="s">
        <v>181</v>
      </c>
      <c r="C207" s="17" t="s">
        <v>305</v>
      </c>
      <c r="D207" s="17" t="s">
        <v>203</v>
      </c>
      <c r="E207" s="17" t="s">
        <v>212</v>
      </c>
      <c r="F207" s="17" t="s">
        <v>253</v>
      </c>
      <c r="G207" s="17" t="s">
        <v>148</v>
      </c>
    </row>
    <row r="208" spans="1:7" x14ac:dyDescent="0.25">
      <c r="A208" s="19">
        <v>2286</v>
      </c>
      <c r="B208" s="17" t="s">
        <v>181</v>
      </c>
      <c r="C208" s="17" t="s">
        <v>305</v>
      </c>
      <c r="D208" s="17" t="s">
        <v>203</v>
      </c>
      <c r="E208" s="17" t="s">
        <v>17</v>
      </c>
      <c r="F208" s="17" t="s">
        <v>324</v>
      </c>
      <c r="G208" s="17" t="s">
        <v>148</v>
      </c>
    </row>
    <row r="209" spans="1:7" x14ac:dyDescent="0.25">
      <c r="A209" s="19">
        <v>2298</v>
      </c>
      <c r="B209" s="17" t="s">
        <v>181</v>
      </c>
      <c r="C209" s="17" t="s">
        <v>305</v>
      </c>
      <c r="D209" s="17" t="s">
        <v>203</v>
      </c>
      <c r="E209" s="17" t="s">
        <v>217</v>
      </c>
      <c r="F209" s="17" t="s">
        <v>255</v>
      </c>
      <c r="G209" s="17" t="s">
        <v>148</v>
      </c>
    </row>
    <row r="210" spans="1:7" x14ac:dyDescent="0.25">
      <c r="A210" s="19">
        <v>2325</v>
      </c>
      <c r="B210" s="17" t="s">
        <v>181</v>
      </c>
      <c r="C210" s="17" t="s">
        <v>305</v>
      </c>
      <c r="D210" s="17" t="s">
        <v>203</v>
      </c>
      <c r="E210" s="17" t="s">
        <v>18</v>
      </c>
      <c r="F210" s="17" t="s">
        <v>325</v>
      </c>
      <c r="G210" s="17" t="s">
        <v>148</v>
      </c>
    </row>
    <row r="211" spans="1:7" x14ac:dyDescent="0.25">
      <c r="A211" s="19">
        <v>2338</v>
      </c>
      <c r="B211" s="17" t="s">
        <v>181</v>
      </c>
      <c r="C211" s="17" t="s">
        <v>305</v>
      </c>
      <c r="D211" s="17" t="s">
        <v>203</v>
      </c>
      <c r="E211" s="17" t="s">
        <v>222</v>
      </c>
      <c r="F211" s="17" t="s">
        <v>257</v>
      </c>
      <c r="G211" s="17" t="s">
        <v>148</v>
      </c>
    </row>
    <row r="212" spans="1:7" x14ac:dyDescent="0.25">
      <c r="A212" s="19">
        <v>2365</v>
      </c>
      <c r="B212" s="17" t="s">
        <v>181</v>
      </c>
      <c r="C212" s="17" t="s">
        <v>305</v>
      </c>
      <c r="D212" s="17" t="s">
        <v>203</v>
      </c>
      <c r="E212" s="17" t="s">
        <v>19</v>
      </c>
      <c r="F212" s="17" t="s">
        <v>326</v>
      </c>
      <c r="G212" s="17" t="s">
        <v>148</v>
      </c>
    </row>
    <row r="213" spans="1:7" x14ac:dyDescent="0.25">
      <c r="A213" s="19">
        <v>2377</v>
      </c>
      <c r="B213" s="17" t="s">
        <v>181</v>
      </c>
      <c r="C213" s="17" t="s">
        <v>305</v>
      </c>
      <c r="D213" s="17" t="s">
        <v>203</v>
      </c>
      <c r="E213" s="17" t="s">
        <v>227</v>
      </c>
      <c r="F213" s="17" t="s">
        <v>259</v>
      </c>
      <c r="G213" s="17" t="s">
        <v>148</v>
      </c>
    </row>
    <row r="214" spans="1:7" x14ac:dyDescent="0.25">
      <c r="A214" s="19">
        <v>2404</v>
      </c>
      <c r="B214" s="17" t="s">
        <v>181</v>
      </c>
      <c r="C214" s="17" t="s">
        <v>305</v>
      </c>
      <c r="D214" s="17" t="s">
        <v>203</v>
      </c>
      <c r="E214" s="17" t="s">
        <v>20</v>
      </c>
      <c r="F214" s="17" t="s">
        <v>327</v>
      </c>
      <c r="G214" s="17" t="s">
        <v>148</v>
      </c>
    </row>
    <row r="215" spans="1:7" x14ac:dyDescent="0.25">
      <c r="A215" s="19">
        <v>2416</v>
      </c>
      <c r="B215" s="17" t="s">
        <v>181</v>
      </c>
      <c r="C215" s="17" t="s">
        <v>305</v>
      </c>
      <c r="D215" s="17" t="s">
        <v>203</v>
      </c>
      <c r="E215" s="17" t="s">
        <v>232</v>
      </c>
      <c r="F215" s="17" t="s">
        <v>261</v>
      </c>
      <c r="G215" s="17" t="s">
        <v>148</v>
      </c>
    </row>
    <row r="216" spans="1:7" x14ac:dyDescent="0.25">
      <c r="A216" s="19">
        <v>2189</v>
      </c>
      <c r="B216" s="17" t="s">
        <v>181</v>
      </c>
      <c r="C216" s="17" t="s">
        <v>328</v>
      </c>
      <c r="D216" s="17" t="s">
        <v>14</v>
      </c>
      <c r="E216" s="17" t="s">
        <v>15</v>
      </c>
      <c r="F216" s="17" t="s">
        <v>329</v>
      </c>
      <c r="G216" s="17" t="s">
        <v>148</v>
      </c>
    </row>
    <row r="217" spans="1:7" x14ac:dyDescent="0.25">
      <c r="A217" s="19">
        <v>2228</v>
      </c>
      <c r="B217" s="17" t="s">
        <v>181</v>
      </c>
      <c r="C217" s="17" t="s">
        <v>328</v>
      </c>
      <c r="D217" s="17" t="s">
        <v>14</v>
      </c>
      <c r="E217" s="17" t="s">
        <v>16</v>
      </c>
      <c r="F217" s="17" t="s">
        <v>330</v>
      </c>
      <c r="G217" s="17" t="s">
        <v>148</v>
      </c>
    </row>
    <row r="218" spans="1:7" x14ac:dyDescent="0.25">
      <c r="A218" s="19">
        <v>2267</v>
      </c>
      <c r="B218" s="17" t="s">
        <v>181</v>
      </c>
      <c r="C218" s="17" t="s">
        <v>328</v>
      </c>
      <c r="D218" s="17" t="s">
        <v>14</v>
      </c>
      <c r="E218" s="17" t="s">
        <v>17</v>
      </c>
      <c r="F218" s="17" t="s">
        <v>331</v>
      </c>
      <c r="G218" s="17" t="s">
        <v>148</v>
      </c>
    </row>
    <row r="219" spans="1:7" x14ac:dyDescent="0.25">
      <c r="A219" s="19">
        <v>2306</v>
      </c>
      <c r="B219" s="17" t="s">
        <v>181</v>
      </c>
      <c r="C219" s="17" t="s">
        <v>328</v>
      </c>
      <c r="D219" s="17" t="s">
        <v>14</v>
      </c>
      <c r="E219" s="17" t="s">
        <v>18</v>
      </c>
      <c r="F219" s="17" t="s">
        <v>332</v>
      </c>
      <c r="G219" s="17" t="s">
        <v>148</v>
      </c>
    </row>
    <row r="220" spans="1:7" x14ac:dyDescent="0.25">
      <c r="A220" s="19">
        <v>2346</v>
      </c>
      <c r="B220" s="17" t="s">
        <v>181</v>
      </c>
      <c r="C220" s="17" t="s">
        <v>328</v>
      </c>
      <c r="D220" s="17" t="s">
        <v>14</v>
      </c>
      <c r="E220" s="17" t="s">
        <v>19</v>
      </c>
      <c r="F220" s="17" t="s">
        <v>333</v>
      </c>
      <c r="G220" s="17" t="s">
        <v>148</v>
      </c>
    </row>
    <row r="221" spans="1:7" x14ac:dyDescent="0.25">
      <c r="A221" s="19">
        <v>2385</v>
      </c>
      <c r="B221" s="17" t="s">
        <v>181</v>
      </c>
      <c r="C221" s="17" t="s">
        <v>328</v>
      </c>
      <c r="D221" s="17" t="s">
        <v>14</v>
      </c>
      <c r="E221" s="17" t="s">
        <v>20</v>
      </c>
      <c r="F221" s="17" t="s">
        <v>334</v>
      </c>
      <c r="G221" s="17" t="s">
        <v>148</v>
      </c>
    </row>
    <row r="222" spans="1:7" x14ac:dyDescent="0.25">
      <c r="A222" s="19">
        <v>1260</v>
      </c>
      <c r="B222" s="17" t="s">
        <v>181</v>
      </c>
      <c r="C222" s="17" t="s">
        <v>328</v>
      </c>
      <c r="D222" s="17" t="s">
        <v>14</v>
      </c>
      <c r="E222" s="17" t="s">
        <v>189</v>
      </c>
      <c r="F222" s="17" t="s">
        <v>335</v>
      </c>
      <c r="G222" s="17" t="s">
        <v>148</v>
      </c>
    </row>
    <row r="223" spans="1:7" x14ac:dyDescent="0.25">
      <c r="A223" s="19">
        <v>1265</v>
      </c>
      <c r="B223" s="17" t="s">
        <v>181</v>
      </c>
      <c r="C223" s="17" t="s">
        <v>328</v>
      </c>
      <c r="D223" s="17" t="s">
        <v>14</v>
      </c>
      <c r="E223" s="17" t="s">
        <v>191</v>
      </c>
      <c r="F223" s="17" t="s">
        <v>336</v>
      </c>
      <c r="G223" s="17" t="s">
        <v>148</v>
      </c>
    </row>
    <row r="224" spans="1:7" x14ac:dyDescent="0.25">
      <c r="A224" s="19">
        <v>1272</v>
      </c>
      <c r="B224" s="17" t="s">
        <v>181</v>
      </c>
      <c r="C224" s="17" t="s">
        <v>328</v>
      </c>
      <c r="D224" s="17" t="s">
        <v>14</v>
      </c>
      <c r="E224" s="17" t="s">
        <v>14</v>
      </c>
      <c r="F224" s="17" t="s">
        <v>337</v>
      </c>
      <c r="G224" s="17" t="s">
        <v>148</v>
      </c>
    </row>
    <row r="225" spans="1:7" x14ac:dyDescent="0.25">
      <c r="A225" s="19">
        <v>2199</v>
      </c>
      <c r="B225" s="17" t="s">
        <v>181</v>
      </c>
      <c r="C225" s="17" t="s">
        <v>328</v>
      </c>
      <c r="D225" s="17" t="s">
        <v>21</v>
      </c>
      <c r="E225" s="17" t="s">
        <v>15</v>
      </c>
      <c r="F225" s="17" t="s">
        <v>338</v>
      </c>
      <c r="G225" s="17" t="s">
        <v>148</v>
      </c>
    </row>
    <row r="226" spans="1:7" x14ac:dyDescent="0.25">
      <c r="A226" s="19">
        <v>2238</v>
      </c>
      <c r="B226" s="17" t="s">
        <v>181</v>
      </c>
      <c r="C226" s="17" t="s">
        <v>328</v>
      </c>
      <c r="D226" s="17" t="s">
        <v>21</v>
      </c>
      <c r="E226" s="17" t="s">
        <v>16</v>
      </c>
      <c r="F226" s="17" t="s">
        <v>339</v>
      </c>
      <c r="G226" s="17" t="s">
        <v>148</v>
      </c>
    </row>
    <row r="227" spans="1:7" x14ac:dyDescent="0.25">
      <c r="A227" s="19">
        <v>2277</v>
      </c>
      <c r="B227" s="17" t="s">
        <v>181</v>
      </c>
      <c r="C227" s="17" t="s">
        <v>328</v>
      </c>
      <c r="D227" s="17" t="s">
        <v>21</v>
      </c>
      <c r="E227" s="17" t="s">
        <v>17</v>
      </c>
      <c r="F227" s="17" t="s">
        <v>340</v>
      </c>
      <c r="G227" s="17" t="s">
        <v>148</v>
      </c>
    </row>
    <row r="228" spans="1:7" x14ac:dyDescent="0.25">
      <c r="A228" s="19">
        <v>2316</v>
      </c>
      <c r="B228" s="17" t="s">
        <v>181</v>
      </c>
      <c r="C228" s="17" t="s">
        <v>328</v>
      </c>
      <c r="D228" s="17" t="s">
        <v>21</v>
      </c>
      <c r="E228" s="17" t="s">
        <v>18</v>
      </c>
      <c r="F228" s="17" t="s">
        <v>341</v>
      </c>
      <c r="G228" s="17" t="s">
        <v>148</v>
      </c>
    </row>
    <row r="229" spans="1:7" x14ac:dyDescent="0.25">
      <c r="A229" s="19">
        <v>2356</v>
      </c>
      <c r="B229" s="17" t="s">
        <v>181</v>
      </c>
      <c r="C229" s="17" t="s">
        <v>328</v>
      </c>
      <c r="D229" s="17" t="s">
        <v>21</v>
      </c>
      <c r="E229" s="17" t="s">
        <v>19</v>
      </c>
      <c r="F229" s="17" t="s">
        <v>342</v>
      </c>
      <c r="G229" s="17" t="s">
        <v>148</v>
      </c>
    </row>
    <row r="230" spans="1:7" x14ac:dyDescent="0.25">
      <c r="A230" s="19">
        <v>2395</v>
      </c>
      <c r="B230" s="17" t="s">
        <v>181</v>
      </c>
      <c r="C230" s="17" t="s">
        <v>328</v>
      </c>
      <c r="D230" s="17" t="s">
        <v>21</v>
      </c>
      <c r="E230" s="17" t="s">
        <v>20</v>
      </c>
      <c r="F230" s="17" t="s">
        <v>343</v>
      </c>
      <c r="G230" s="17" t="s">
        <v>148</v>
      </c>
    </row>
    <row r="231" spans="1:7" x14ac:dyDescent="0.25">
      <c r="A231" s="19">
        <v>1320</v>
      </c>
      <c r="B231" s="17" t="s">
        <v>181</v>
      </c>
      <c r="C231" s="17" t="s">
        <v>328</v>
      </c>
      <c r="D231" s="17" t="s">
        <v>21</v>
      </c>
      <c r="E231" s="17" t="s">
        <v>189</v>
      </c>
      <c r="F231" s="17" t="s">
        <v>344</v>
      </c>
      <c r="G231" s="17" t="s">
        <v>148</v>
      </c>
    </row>
    <row r="232" spans="1:7" x14ac:dyDescent="0.25">
      <c r="A232" s="19">
        <v>1327</v>
      </c>
      <c r="B232" s="17" t="s">
        <v>181</v>
      </c>
      <c r="C232" s="17" t="s">
        <v>328</v>
      </c>
      <c r="D232" s="17" t="s">
        <v>21</v>
      </c>
      <c r="E232" s="17" t="s">
        <v>191</v>
      </c>
      <c r="F232" s="17" t="s">
        <v>345</v>
      </c>
      <c r="G232" s="17" t="s">
        <v>148</v>
      </c>
    </row>
    <row r="233" spans="1:7" x14ac:dyDescent="0.25">
      <c r="A233" s="19">
        <v>1340</v>
      </c>
      <c r="B233" s="17" t="s">
        <v>181</v>
      </c>
      <c r="C233" s="17" t="s">
        <v>328</v>
      </c>
      <c r="D233" s="17" t="s">
        <v>21</v>
      </c>
      <c r="E233" s="17" t="s">
        <v>14</v>
      </c>
      <c r="F233" s="17" t="s">
        <v>346</v>
      </c>
      <c r="G233" s="17" t="s">
        <v>148</v>
      </c>
    </row>
    <row r="234" spans="1:7" x14ac:dyDescent="0.25">
      <c r="A234" s="19">
        <v>2209</v>
      </c>
      <c r="B234" s="17" t="s">
        <v>181</v>
      </c>
      <c r="C234" s="17" t="s">
        <v>328</v>
      </c>
      <c r="D234" s="17" t="s">
        <v>203</v>
      </c>
      <c r="E234" s="17" t="s">
        <v>15</v>
      </c>
      <c r="F234" s="17" t="s">
        <v>347</v>
      </c>
      <c r="G234" s="17" t="s">
        <v>148</v>
      </c>
    </row>
    <row r="235" spans="1:7" x14ac:dyDescent="0.25">
      <c r="A235" s="19">
        <v>2221</v>
      </c>
      <c r="B235" s="17" t="s">
        <v>181</v>
      </c>
      <c r="C235" s="17" t="s">
        <v>328</v>
      </c>
      <c r="D235" s="17" t="s">
        <v>203</v>
      </c>
      <c r="E235" s="17" t="s">
        <v>207</v>
      </c>
      <c r="F235" s="17" t="s">
        <v>348</v>
      </c>
      <c r="G235" s="17" t="s">
        <v>148</v>
      </c>
    </row>
    <row r="236" spans="1:7" x14ac:dyDescent="0.25">
      <c r="A236" s="19">
        <v>2248</v>
      </c>
      <c r="B236" s="17" t="s">
        <v>181</v>
      </c>
      <c r="C236" s="17" t="s">
        <v>328</v>
      </c>
      <c r="D236" s="17" t="s">
        <v>203</v>
      </c>
      <c r="E236" s="17" t="s">
        <v>16</v>
      </c>
      <c r="F236" s="17" t="s">
        <v>349</v>
      </c>
      <c r="G236" s="17" t="s">
        <v>148</v>
      </c>
    </row>
    <row r="237" spans="1:7" x14ac:dyDescent="0.25">
      <c r="A237" s="19">
        <v>2260</v>
      </c>
      <c r="B237" s="17" t="s">
        <v>181</v>
      </c>
      <c r="C237" s="17" t="s">
        <v>328</v>
      </c>
      <c r="D237" s="17" t="s">
        <v>203</v>
      </c>
      <c r="E237" s="17" t="s">
        <v>212</v>
      </c>
      <c r="F237" s="17" t="s">
        <v>350</v>
      </c>
      <c r="G237" s="17" t="s">
        <v>148</v>
      </c>
    </row>
    <row r="238" spans="1:7" x14ac:dyDescent="0.25">
      <c r="A238" s="19">
        <v>2287</v>
      </c>
      <c r="B238" s="17" t="s">
        <v>181</v>
      </c>
      <c r="C238" s="17" t="s">
        <v>328</v>
      </c>
      <c r="D238" s="17" t="s">
        <v>203</v>
      </c>
      <c r="E238" s="17" t="s">
        <v>17</v>
      </c>
      <c r="F238" s="17" t="s">
        <v>351</v>
      </c>
      <c r="G238" s="17" t="s">
        <v>148</v>
      </c>
    </row>
    <row r="239" spans="1:7" x14ac:dyDescent="0.25">
      <c r="A239" s="19">
        <v>2299</v>
      </c>
      <c r="B239" s="17" t="s">
        <v>181</v>
      </c>
      <c r="C239" s="17" t="s">
        <v>328</v>
      </c>
      <c r="D239" s="17" t="s">
        <v>203</v>
      </c>
      <c r="E239" s="17" t="s">
        <v>217</v>
      </c>
      <c r="F239" s="17" t="s">
        <v>352</v>
      </c>
      <c r="G239" s="17" t="s">
        <v>148</v>
      </c>
    </row>
    <row r="240" spans="1:7" x14ac:dyDescent="0.25">
      <c r="A240" s="19">
        <v>2326</v>
      </c>
      <c r="B240" s="17" t="s">
        <v>181</v>
      </c>
      <c r="C240" s="17" t="s">
        <v>328</v>
      </c>
      <c r="D240" s="17" t="s">
        <v>203</v>
      </c>
      <c r="E240" s="17" t="s">
        <v>18</v>
      </c>
      <c r="F240" s="17" t="s">
        <v>353</v>
      </c>
      <c r="G240" s="17" t="s">
        <v>148</v>
      </c>
    </row>
    <row r="241" spans="1:7" x14ac:dyDescent="0.25">
      <c r="A241" s="19">
        <v>2339</v>
      </c>
      <c r="B241" s="17" t="s">
        <v>181</v>
      </c>
      <c r="C241" s="17" t="s">
        <v>328</v>
      </c>
      <c r="D241" s="17" t="s">
        <v>203</v>
      </c>
      <c r="E241" s="17" t="s">
        <v>222</v>
      </c>
      <c r="F241" s="17" t="s">
        <v>354</v>
      </c>
      <c r="G241" s="17" t="s">
        <v>148</v>
      </c>
    </row>
    <row r="242" spans="1:7" x14ac:dyDescent="0.25">
      <c r="A242" s="19">
        <v>2366</v>
      </c>
      <c r="B242" s="17" t="s">
        <v>181</v>
      </c>
      <c r="C242" s="17" t="s">
        <v>328</v>
      </c>
      <c r="D242" s="17" t="s">
        <v>203</v>
      </c>
      <c r="E242" s="17" t="s">
        <v>19</v>
      </c>
      <c r="F242" s="17" t="s">
        <v>355</v>
      </c>
      <c r="G242" s="17" t="s">
        <v>148</v>
      </c>
    </row>
    <row r="243" spans="1:7" x14ac:dyDescent="0.25">
      <c r="A243" s="19">
        <v>2378</v>
      </c>
      <c r="B243" s="17" t="s">
        <v>181</v>
      </c>
      <c r="C243" s="17" t="s">
        <v>328</v>
      </c>
      <c r="D243" s="17" t="s">
        <v>203</v>
      </c>
      <c r="E243" s="17" t="s">
        <v>227</v>
      </c>
      <c r="F243" s="17" t="s">
        <v>356</v>
      </c>
      <c r="G243" s="17" t="s">
        <v>148</v>
      </c>
    </row>
    <row r="244" spans="1:7" x14ac:dyDescent="0.25">
      <c r="A244" s="19">
        <v>2405</v>
      </c>
      <c r="B244" s="17" t="s">
        <v>181</v>
      </c>
      <c r="C244" s="17" t="s">
        <v>328</v>
      </c>
      <c r="D244" s="17" t="s">
        <v>203</v>
      </c>
      <c r="E244" s="17" t="s">
        <v>20</v>
      </c>
      <c r="F244" s="17" t="s">
        <v>357</v>
      </c>
      <c r="G244" s="17" t="s">
        <v>148</v>
      </c>
    </row>
    <row r="245" spans="1:7" x14ac:dyDescent="0.25">
      <c r="A245" s="19">
        <v>2417</v>
      </c>
      <c r="B245" s="17" t="s">
        <v>181</v>
      </c>
      <c r="C245" s="17" t="s">
        <v>328</v>
      </c>
      <c r="D245" s="17" t="s">
        <v>203</v>
      </c>
      <c r="E245" s="17" t="s">
        <v>232</v>
      </c>
      <c r="F245" s="17" t="s">
        <v>358</v>
      </c>
      <c r="G245" s="17" t="s">
        <v>148</v>
      </c>
    </row>
    <row r="246" spans="1:7" x14ac:dyDescent="0.25">
      <c r="A246" s="19">
        <v>2190</v>
      </c>
      <c r="B246" s="17" t="s">
        <v>181</v>
      </c>
      <c r="C246" s="17" t="s">
        <v>359</v>
      </c>
      <c r="D246" s="17" t="s">
        <v>14</v>
      </c>
      <c r="E246" s="17" t="s">
        <v>15</v>
      </c>
      <c r="F246" s="17" t="s">
        <v>263</v>
      </c>
      <c r="G246" s="17" t="s">
        <v>148</v>
      </c>
    </row>
    <row r="247" spans="1:7" x14ac:dyDescent="0.25">
      <c r="A247" s="19">
        <v>2229</v>
      </c>
      <c r="B247" s="17" t="s">
        <v>181</v>
      </c>
      <c r="C247" s="17" t="s">
        <v>359</v>
      </c>
      <c r="D247" s="17" t="s">
        <v>14</v>
      </c>
      <c r="E247" s="17" t="s">
        <v>16</v>
      </c>
      <c r="F247" s="17" t="s">
        <v>264</v>
      </c>
      <c r="G247" s="17" t="s">
        <v>148</v>
      </c>
    </row>
    <row r="248" spans="1:7" x14ac:dyDescent="0.25">
      <c r="A248" s="19">
        <v>2268</v>
      </c>
      <c r="B248" s="17" t="s">
        <v>181</v>
      </c>
      <c r="C248" s="17" t="s">
        <v>359</v>
      </c>
      <c r="D248" s="17" t="s">
        <v>14</v>
      </c>
      <c r="E248" s="17" t="s">
        <v>17</v>
      </c>
      <c r="F248" s="17" t="s">
        <v>265</v>
      </c>
      <c r="G248" s="17" t="s">
        <v>148</v>
      </c>
    </row>
    <row r="249" spans="1:7" x14ac:dyDescent="0.25">
      <c r="A249" s="19">
        <v>2307</v>
      </c>
      <c r="B249" s="17" t="s">
        <v>181</v>
      </c>
      <c r="C249" s="17" t="s">
        <v>359</v>
      </c>
      <c r="D249" s="17" t="s">
        <v>14</v>
      </c>
      <c r="E249" s="17" t="s">
        <v>18</v>
      </c>
      <c r="F249" s="17" t="s">
        <v>266</v>
      </c>
      <c r="G249" s="17" t="s">
        <v>148</v>
      </c>
    </row>
    <row r="250" spans="1:7" x14ac:dyDescent="0.25">
      <c r="A250" s="19">
        <v>2347</v>
      </c>
      <c r="B250" s="17" t="s">
        <v>181</v>
      </c>
      <c r="C250" s="17" t="s">
        <v>359</v>
      </c>
      <c r="D250" s="17" t="s">
        <v>14</v>
      </c>
      <c r="E250" s="17" t="s">
        <v>19</v>
      </c>
      <c r="F250" s="17" t="s">
        <v>267</v>
      </c>
      <c r="G250" s="17" t="s">
        <v>148</v>
      </c>
    </row>
    <row r="251" spans="1:7" x14ac:dyDescent="0.25">
      <c r="A251" s="19">
        <v>2386</v>
      </c>
      <c r="B251" s="17" t="s">
        <v>181</v>
      </c>
      <c r="C251" s="17" t="s">
        <v>359</v>
      </c>
      <c r="D251" s="17" t="s">
        <v>14</v>
      </c>
      <c r="E251" s="17" t="s">
        <v>20</v>
      </c>
      <c r="F251" s="17" t="s">
        <v>268</v>
      </c>
      <c r="G251" s="17" t="s">
        <v>148</v>
      </c>
    </row>
    <row r="252" spans="1:7" x14ac:dyDescent="0.25">
      <c r="A252" s="19">
        <v>879</v>
      </c>
      <c r="B252" s="17" t="s">
        <v>181</v>
      </c>
      <c r="C252" s="17" t="s">
        <v>359</v>
      </c>
      <c r="D252" s="17" t="s">
        <v>14</v>
      </c>
      <c r="E252" s="17" t="s">
        <v>189</v>
      </c>
      <c r="F252" s="17" t="s">
        <v>269</v>
      </c>
      <c r="G252" s="17" t="s">
        <v>148</v>
      </c>
    </row>
    <row r="253" spans="1:7" x14ac:dyDescent="0.25">
      <c r="A253" s="19">
        <v>892</v>
      </c>
      <c r="B253" s="17" t="s">
        <v>181</v>
      </c>
      <c r="C253" s="17" t="s">
        <v>359</v>
      </c>
      <c r="D253" s="17" t="s">
        <v>14</v>
      </c>
      <c r="E253" s="17" t="s">
        <v>191</v>
      </c>
      <c r="F253" s="17" t="s">
        <v>270</v>
      </c>
      <c r="G253" s="17" t="s">
        <v>148</v>
      </c>
    </row>
    <row r="254" spans="1:7" x14ac:dyDescent="0.25">
      <c r="A254" s="19">
        <v>894</v>
      </c>
      <c r="B254" s="17" t="s">
        <v>181</v>
      </c>
      <c r="C254" s="17" t="s">
        <v>359</v>
      </c>
      <c r="D254" s="17" t="s">
        <v>14</v>
      </c>
      <c r="E254" s="17" t="s">
        <v>14</v>
      </c>
      <c r="F254" s="17" t="s">
        <v>271</v>
      </c>
      <c r="G254" s="17" t="s">
        <v>148</v>
      </c>
    </row>
    <row r="255" spans="1:7" x14ac:dyDescent="0.25">
      <c r="A255" s="19">
        <v>2200</v>
      </c>
      <c r="B255" s="17" t="s">
        <v>181</v>
      </c>
      <c r="C255" s="17" t="s">
        <v>359</v>
      </c>
      <c r="D255" s="17" t="s">
        <v>21</v>
      </c>
      <c r="E255" s="17" t="s">
        <v>15</v>
      </c>
      <c r="F255" s="17" t="s">
        <v>272</v>
      </c>
      <c r="G255" s="17" t="s">
        <v>148</v>
      </c>
    </row>
    <row r="256" spans="1:7" x14ac:dyDescent="0.25">
      <c r="A256" s="19">
        <v>2239</v>
      </c>
      <c r="B256" s="17" t="s">
        <v>181</v>
      </c>
      <c r="C256" s="17" t="s">
        <v>359</v>
      </c>
      <c r="D256" s="17" t="s">
        <v>21</v>
      </c>
      <c r="E256" s="17" t="s">
        <v>16</v>
      </c>
      <c r="F256" s="17" t="s">
        <v>273</v>
      </c>
      <c r="G256" s="17" t="s">
        <v>148</v>
      </c>
    </row>
    <row r="257" spans="1:7" x14ac:dyDescent="0.25">
      <c r="A257" s="19">
        <v>2278</v>
      </c>
      <c r="B257" s="17" t="s">
        <v>181</v>
      </c>
      <c r="C257" s="17" t="s">
        <v>359</v>
      </c>
      <c r="D257" s="17" t="s">
        <v>21</v>
      </c>
      <c r="E257" s="17" t="s">
        <v>17</v>
      </c>
      <c r="F257" s="17" t="s">
        <v>274</v>
      </c>
      <c r="G257" s="17" t="s">
        <v>148</v>
      </c>
    </row>
    <row r="258" spans="1:7" x14ac:dyDescent="0.25">
      <c r="A258" s="19">
        <v>2317</v>
      </c>
      <c r="B258" s="17" t="s">
        <v>181</v>
      </c>
      <c r="C258" s="17" t="s">
        <v>359</v>
      </c>
      <c r="D258" s="17" t="s">
        <v>21</v>
      </c>
      <c r="E258" s="17" t="s">
        <v>18</v>
      </c>
      <c r="F258" s="17" t="s">
        <v>275</v>
      </c>
      <c r="G258" s="17" t="s">
        <v>148</v>
      </c>
    </row>
    <row r="259" spans="1:7" x14ac:dyDescent="0.25">
      <c r="A259" s="19">
        <v>2357</v>
      </c>
      <c r="B259" s="17" t="s">
        <v>181</v>
      </c>
      <c r="C259" s="17" t="s">
        <v>359</v>
      </c>
      <c r="D259" s="17" t="s">
        <v>21</v>
      </c>
      <c r="E259" s="17" t="s">
        <v>19</v>
      </c>
      <c r="F259" s="17" t="s">
        <v>276</v>
      </c>
      <c r="G259" s="17" t="s">
        <v>148</v>
      </c>
    </row>
    <row r="260" spans="1:7" x14ac:dyDescent="0.25">
      <c r="A260" s="19">
        <v>2396</v>
      </c>
      <c r="B260" s="17" t="s">
        <v>181</v>
      </c>
      <c r="C260" s="17" t="s">
        <v>359</v>
      </c>
      <c r="D260" s="17" t="s">
        <v>21</v>
      </c>
      <c r="E260" s="17" t="s">
        <v>20</v>
      </c>
      <c r="F260" s="17" t="s">
        <v>277</v>
      </c>
      <c r="G260" s="17" t="s">
        <v>148</v>
      </c>
    </row>
    <row r="261" spans="1:7" x14ac:dyDescent="0.25">
      <c r="A261" s="19">
        <v>945</v>
      </c>
      <c r="B261" s="17" t="s">
        <v>181</v>
      </c>
      <c r="C261" s="17" t="s">
        <v>359</v>
      </c>
      <c r="D261" s="17" t="s">
        <v>21</v>
      </c>
      <c r="E261" s="17" t="s">
        <v>189</v>
      </c>
      <c r="F261" s="17" t="s">
        <v>278</v>
      </c>
      <c r="G261" s="17" t="s">
        <v>148</v>
      </c>
    </row>
    <row r="262" spans="1:7" x14ac:dyDescent="0.25">
      <c r="A262" s="19">
        <v>950</v>
      </c>
      <c r="B262" s="17" t="s">
        <v>181</v>
      </c>
      <c r="C262" s="17" t="s">
        <v>359</v>
      </c>
      <c r="D262" s="17" t="s">
        <v>21</v>
      </c>
      <c r="E262" s="17" t="s">
        <v>191</v>
      </c>
      <c r="F262" s="17" t="s">
        <v>279</v>
      </c>
      <c r="G262" s="17" t="s">
        <v>148</v>
      </c>
    </row>
    <row r="263" spans="1:7" x14ac:dyDescent="0.25">
      <c r="A263" s="19">
        <v>957</v>
      </c>
      <c r="B263" s="17" t="s">
        <v>181</v>
      </c>
      <c r="C263" s="17" t="s">
        <v>359</v>
      </c>
      <c r="D263" s="17" t="s">
        <v>21</v>
      </c>
      <c r="E263" s="17" t="s">
        <v>14</v>
      </c>
      <c r="F263" s="17" t="s">
        <v>280</v>
      </c>
      <c r="G263" s="17" t="s">
        <v>148</v>
      </c>
    </row>
    <row r="264" spans="1:7" x14ac:dyDescent="0.25">
      <c r="A264" s="19">
        <v>2210</v>
      </c>
      <c r="B264" s="17" t="s">
        <v>181</v>
      </c>
      <c r="C264" s="17" t="s">
        <v>359</v>
      </c>
      <c r="D264" s="17" t="s">
        <v>203</v>
      </c>
      <c r="E264" s="17" t="s">
        <v>15</v>
      </c>
      <c r="F264" s="17" t="s">
        <v>281</v>
      </c>
      <c r="G264" s="17" t="s">
        <v>148</v>
      </c>
    </row>
    <row r="265" spans="1:7" x14ac:dyDescent="0.25">
      <c r="A265" s="19">
        <v>2249</v>
      </c>
      <c r="B265" s="17" t="s">
        <v>181</v>
      </c>
      <c r="C265" s="17" t="s">
        <v>359</v>
      </c>
      <c r="D265" s="17" t="s">
        <v>203</v>
      </c>
      <c r="E265" s="17" t="s">
        <v>16</v>
      </c>
      <c r="F265" s="17" t="s">
        <v>282</v>
      </c>
      <c r="G265" s="17" t="s">
        <v>148</v>
      </c>
    </row>
    <row r="266" spans="1:7" x14ac:dyDescent="0.25">
      <c r="A266" s="19">
        <v>2288</v>
      </c>
      <c r="B266" s="17" t="s">
        <v>181</v>
      </c>
      <c r="C266" s="17" t="s">
        <v>359</v>
      </c>
      <c r="D266" s="17" t="s">
        <v>203</v>
      </c>
      <c r="E266" s="17" t="s">
        <v>17</v>
      </c>
      <c r="F266" s="17" t="s">
        <v>283</v>
      </c>
      <c r="G266" s="17" t="s">
        <v>148</v>
      </c>
    </row>
    <row r="267" spans="1:7" x14ac:dyDescent="0.25">
      <c r="A267" s="19">
        <v>2327</v>
      </c>
      <c r="B267" s="17" t="s">
        <v>181</v>
      </c>
      <c r="C267" s="17" t="s">
        <v>359</v>
      </c>
      <c r="D267" s="17" t="s">
        <v>203</v>
      </c>
      <c r="E267" s="17" t="s">
        <v>18</v>
      </c>
      <c r="F267" s="17" t="s">
        <v>284</v>
      </c>
      <c r="G267" s="17" t="s">
        <v>148</v>
      </c>
    </row>
    <row r="268" spans="1:7" x14ac:dyDescent="0.25">
      <c r="A268" s="19">
        <v>2367</v>
      </c>
      <c r="B268" s="17" t="s">
        <v>181</v>
      </c>
      <c r="C268" s="17" t="s">
        <v>359</v>
      </c>
      <c r="D268" s="17" t="s">
        <v>203</v>
      </c>
      <c r="E268" s="17" t="s">
        <v>19</v>
      </c>
      <c r="F268" s="17" t="s">
        <v>285</v>
      </c>
      <c r="G268" s="17" t="s">
        <v>148</v>
      </c>
    </row>
    <row r="269" spans="1:7" x14ac:dyDescent="0.25">
      <c r="A269" s="19">
        <v>2406</v>
      </c>
      <c r="B269" s="17" t="s">
        <v>181</v>
      </c>
      <c r="C269" s="17" t="s">
        <v>359</v>
      </c>
      <c r="D269" s="17" t="s">
        <v>203</v>
      </c>
      <c r="E269" s="17" t="s">
        <v>20</v>
      </c>
      <c r="F269" s="17" t="s">
        <v>286</v>
      </c>
      <c r="G269" s="17" t="s">
        <v>148</v>
      </c>
    </row>
    <row r="270" spans="1:7" x14ac:dyDescent="0.25">
      <c r="A270" s="19">
        <v>2191</v>
      </c>
      <c r="B270" s="17" t="s">
        <v>181</v>
      </c>
      <c r="C270" s="17" t="s">
        <v>360</v>
      </c>
      <c r="D270" s="17" t="s">
        <v>14</v>
      </c>
      <c r="E270" s="17" t="s">
        <v>15</v>
      </c>
      <c r="F270" s="17" t="s">
        <v>263</v>
      </c>
      <c r="G270" s="17" t="s">
        <v>148</v>
      </c>
    </row>
    <row r="271" spans="1:7" x14ac:dyDescent="0.25">
      <c r="A271" s="19">
        <v>2230</v>
      </c>
      <c r="B271" s="17" t="s">
        <v>181</v>
      </c>
      <c r="C271" s="17" t="s">
        <v>360</v>
      </c>
      <c r="D271" s="17" t="s">
        <v>14</v>
      </c>
      <c r="E271" s="17" t="s">
        <v>16</v>
      </c>
      <c r="F271" s="17" t="s">
        <v>264</v>
      </c>
      <c r="G271" s="17" t="s">
        <v>148</v>
      </c>
    </row>
    <row r="272" spans="1:7" x14ac:dyDescent="0.25">
      <c r="A272" s="19">
        <v>2269</v>
      </c>
      <c r="B272" s="17" t="s">
        <v>181</v>
      </c>
      <c r="C272" s="17" t="s">
        <v>360</v>
      </c>
      <c r="D272" s="17" t="s">
        <v>14</v>
      </c>
      <c r="E272" s="17" t="s">
        <v>17</v>
      </c>
      <c r="F272" s="17" t="s">
        <v>265</v>
      </c>
      <c r="G272" s="17" t="s">
        <v>148</v>
      </c>
    </row>
    <row r="273" spans="1:7" x14ac:dyDescent="0.25">
      <c r="A273" s="19">
        <v>2308</v>
      </c>
      <c r="B273" s="17" t="s">
        <v>181</v>
      </c>
      <c r="C273" s="17" t="s">
        <v>360</v>
      </c>
      <c r="D273" s="17" t="s">
        <v>14</v>
      </c>
      <c r="E273" s="17" t="s">
        <v>18</v>
      </c>
      <c r="F273" s="17" t="s">
        <v>266</v>
      </c>
      <c r="G273" s="17" t="s">
        <v>148</v>
      </c>
    </row>
    <row r="274" spans="1:7" x14ac:dyDescent="0.25">
      <c r="A274" s="19">
        <v>2348</v>
      </c>
      <c r="B274" s="17" t="s">
        <v>181</v>
      </c>
      <c r="C274" s="17" t="s">
        <v>360</v>
      </c>
      <c r="D274" s="17" t="s">
        <v>14</v>
      </c>
      <c r="E274" s="17" t="s">
        <v>19</v>
      </c>
      <c r="F274" s="17" t="s">
        <v>267</v>
      </c>
      <c r="G274" s="17" t="s">
        <v>148</v>
      </c>
    </row>
    <row r="275" spans="1:7" x14ac:dyDescent="0.25">
      <c r="A275" s="19">
        <v>2387</v>
      </c>
      <c r="B275" s="17" t="s">
        <v>181</v>
      </c>
      <c r="C275" s="17" t="s">
        <v>360</v>
      </c>
      <c r="D275" s="17" t="s">
        <v>14</v>
      </c>
      <c r="E275" s="17" t="s">
        <v>20</v>
      </c>
      <c r="F275" s="17" t="s">
        <v>268</v>
      </c>
      <c r="G275" s="17" t="s">
        <v>148</v>
      </c>
    </row>
    <row r="276" spans="1:7" x14ac:dyDescent="0.25">
      <c r="A276" s="19">
        <v>1131</v>
      </c>
      <c r="B276" s="17" t="s">
        <v>181</v>
      </c>
      <c r="C276" s="17" t="s">
        <v>360</v>
      </c>
      <c r="D276" s="17" t="s">
        <v>14</v>
      </c>
      <c r="E276" s="17" t="s">
        <v>189</v>
      </c>
      <c r="F276" s="17" t="s">
        <v>269</v>
      </c>
      <c r="G276" s="17" t="s">
        <v>148</v>
      </c>
    </row>
    <row r="277" spans="1:7" x14ac:dyDescent="0.25">
      <c r="A277" s="19">
        <v>1139</v>
      </c>
      <c r="B277" s="17" t="s">
        <v>181</v>
      </c>
      <c r="C277" s="17" t="s">
        <v>360</v>
      </c>
      <c r="D277" s="17" t="s">
        <v>14</v>
      </c>
      <c r="E277" s="17" t="s">
        <v>191</v>
      </c>
      <c r="F277" s="17" t="s">
        <v>270</v>
      </c>
      <c r="G277" s="17" t="s">
        <v>148</v>
      </c>
    </row>
    <row r="278" spans="1:7" x14ac:dyDescent="0.25">
      <c r="A278" s="19">
        <v>1146</v>
      </c>
      <c r="B278" s="17" t="s">
        <v>181</v>
      </c>
      <c r="C278" s="17" t="s">
        <v>360</v>
      </c>
      <c r="D278" s="17" t="s">
        <v>14</v>
      </c>
      <c r="E278" s="17" t="s">
        <v>14</v>
      </c>
      <c r="F278" s="17" t="s">
        <v>271</v>
      </c>
      <c r="G278" s="17" t="s">
        <v>148</v>
      </c>
    </row>
    <row r="279" spans="1:7" x14ac:dyDescent="0.25">
      <c r="A279" s="19">
        <v>2201</v>
      </c>
      <c r="B279" s="17" t="s">
        <v>181</v>
      </c>
      <c r="C279" s="17" t="s">
        <v>360</v>
      </c>
      <c r="D279" s="17" t="s">
        <v>21</v>
      </c>
      <c r="E279" s="17" t="s">
        <v>15</v>
      </c>
      <c r="F279" s="17" t="s">
        <v>272</v>
      </c>
      <c r="G279" s="17" t="s">
        <v>148</v>
      </c>
    </row>
    <row r="280" spans="1:7" x14ac:dyDescent="0.25">
      <c r="A280" s="19">
        <v>2240</v>
      </c>
      <c r="B280" s="17" t="s">
        <v>181</v>
      </c>
      <c r="C280" s="17" t="s">
        <v>360</v>
      </c>
      <c r="D280" s="17" t="s">
        <v>21</v>
      </c>
      <c r="E280" s="17" t="s">
        <v>16</v>
      </c>
      <c r="F280" s="17" t="s">
        <v>273</v>
      </c>
      <c r="G280" s="17" t="s">
        <v>148</v>
      </c>
    </row>
    <row r="281" spans="1:7" x14ac:dyDescent="0.25">
      <c r="A281" s="19">
        <v>2279</v>
      </c>
      <c r="B281" s="17" t="s">
        <v>181</v>
      </c>
      <c r="C281" s="17" t="s">
        <v>360</v>
      </c>
      <c r="D281" s="17" t="s">
        <v>21</v>
      </c>
      <c r="E281" s="17" t="s">
        <v>17</v>
      </c>
      <c r="F281" s="17" t="s">
        <v>274</v>
      </c>
      <c r="G281" s="17" t="s">
        <v>148</v>
      </c>
    </row>
    <row r="282" spans="1:7" x14ac:dyDescent="0.25">
      <c r="A282" s="19">
        <v>2318</v>
      </c>
      <c r="B282" s="17" t="s">
        <v>181</v>
      </c>
      <c r="C282" s="17" t="s">
        <v>360</v>
      </c>
      <c r="D282" s="17" t="s">
        <v>21</v>
      </c>
      <c r="E282" s="17" t="s">
        <v>18</v>
      </c>
      <c r="F282" s="17" t="s">
        <v>275</v>
      </c>
      <c r="G282" s="17" t="s">
        <v>148</v>
      </c>
    </row>
    <row r="283" spans="1:7" x14ac:dyDescent="0.25">
      <c r="A283" s="19">
        <v>2358</v>
      </c>
      <c r="B283" s="17" t="s">
        <v>181</v>
      </c>
      <c r="C283" s="17" t="s">
        <v>360</v>
      </c>
      <c r="D283" s="17" t="s">
        <v>21</v>
      </c>
      <c r="E283" s="17" t="s">
        <v>19</v>
      </c>
      <c r="F283" s="17" t="s">
        <v>276</v>
      </c>
      <c r="G283" s="17" t="s">
        <v>148</v>
      </c>
    </row>
    <row r="284" spans="1:7" x14ac:dyDescent="0.25">
      <c r="A284" s="19">
        <v>2397</v>
      </c>
      <c r="B284" s="17" t="s">
        <v>181</v>
      </c>
      <c r="C284" s="17" t="s">
        <v>360</v>
      </c>
      <c r="D284" s="17" t="s">
        <v>21</v>
      </c>
      <c r="E284" s="17" t="s">
        <v>20</v>
      </c>
      <c r="F284" s="17" t="s">
        <v>277</v>
      </c>
      <c r="G284" s="17" t="s">
        <v>148</v>
      </c>
    </row>
    <row r="285" spans="1:7" x14ac:dyDescent="0.25">
      <c r="A285" s="19">
        <v>1195</v>
      </c>
      <c r="B285" s="17" t="s">
        <v>181</v>
      </c>
      <c r="C285" s="17" t="s">
        <v>360</v>
      </c>
      <c r="D285" s="17" t="s">
        <v>21</v>
      </c>
      <c r="E285" s="17" t="s">
        <v>189</v>
      </c>
      <c r="F285" s="17" t="s">
        <v>278</v>
      </c>
      <c r="G285" s="17" t="s">
        <v>148</v>
      </c>
    </row>
    <row r="286" spans="1:7" x14ac:dyDescent="0.25">
      <c r="A286" s="19">
        <v>1207</v>
      </c>
      <c r="B286" s="17" t="s">
        <v>181</v>
      </c>
      <c r="C286" s="17" t="s">
        <v>360</v>
      </c>
      <c r="D286" s="17" t="s">
        <v>21</v>
      </c>
      <c r="E286" s="17" t="s">
        <v>191</v>
      </c>
      <c r="F286" s="17" t="s">
        <v>279</v>
      </c>
      <c r="G286" s="17" t="s">
        <v>148</v>
      </c>
    </row>
    <row r="287" spans="1:7" x14ac:dyDescent="0.25">
      <c r="A287" s="19">
        <v>1209</v>
      </c>
      <c r="B287" s="17" t="s">
        <v>181</v>
      </c>
      <c r="C287" s="17" t="s">
        <v>360</v>
      </c>
      <c r="D287" s="17" t="s">
        <v>21</v>
      </c>
      <c r="E287" s="17" t="s">
        <v>14</v>
      </c>
      <c r="F287" s="17" t="s">
        <v>280</v>
      </c>
      <c r="G287" s="17" t="s">
        <v>148</v>
      </c>
    </row>
    <row r="288" spans="1:7" x14ac:dyDescent="0.25">
      <c r="A288" s="19">
        <v>2211</v>
      </c>
      <c r="B288" s="17" t="s">
        <v>181</v>
      </c>
      <c r="C288" s="17" t="s">
        <v>360</v>
      </c>
      <c r="D288" s="17" t="s">
        <v>203</v>
      </c>
      <c r="E288" s="17" t="s">
        <v>15</v>
      </c>
      <c r="F288" s="17" t="s">
        <v>281</v>
      </c>
      <c r="G288" s="17" t="s">
        <v>148</v>
      </c>
    </row>
    <row r="289" spans="1:7" x14ac:dyDescent="0.25">
      <c r="A289" s="19">
        <v>2250</v>
      </c>
      <c r="B289" s="17" t="s">
        <v>181</v>
      </c>
      <c r="C289" s="17" t="s">
        <v>360</v>
      </c>
      <c r="D289" s="17" t="s">
        <v>203</v>
      </c>
      <c r="E289" s="17" t="s">
        <v>16</v>
      </c>
      <c r="F289" s="17" t="s">
        <v>282</v>
      </c>
      <c r="G289" s="17" t="s">
        <v>148</v>
      </c>
    </row>
    <row r="290" spans="1:7" x14ac:dyDescent="0.25">
      <c r="A290" s="19">
        <v>2289</v>
      </c>
      <c r="B290" s="17" t="s">
        <v>181</v>
      </c>
      <c r="C290" s="17" t="s">
        <v>360</v>
      </c>
      <c r="D290" s="17" t="s">
        <v>203</v>
      </c>
      <c r="E290" s="17" t="s">
        <v>17</v>
      </c>
      <c r="F290" s="17" t="s">
        <v>283</v>
      </c>
      <c r="G290" s="17" t="s">
        <v>148</v>
      </c>
    </row>
    <row r="291" spans="1:7" x14ac:dyDescent="0.25">
      <c r="A291" s="19">
        <v>2328</v>
      </c>
      <c r="B291" s="17" t="s">
        <v>181</v>
      </c>
      <c r="C291" s="17" t="s">
        <v>360</v>
      </c>
      <c r="D291" s="17" t="s">
        <v>203</v>
      </c>
      <c r="E291" s="17" t="s">
        <v>18</v>
      </c>
      <c r="F291" s="17" t="s">
        <v>284</v>
      </c>
      <c r="G291" s="17" t="s">
        <v>148</v>
      </c>
    </row>
    <row r="292" spans="1:7" x14ac:dyDescent="0.25">
      <c r="A292" s="19">
        <v>2368</v>
      </c>
      <c r="B292" s="17" t="s">
        <v>181</v>
      </c>
      <c r="C292" s="17" t="s">
        <v>360</v>
      </c>
      <c r="D292" s="17" t="s">
        <v>203</v>
      </c>
      <c r="E292" s="17" t="s">
        <v>19</v>
      </c>
      <c r="F292" s="17" t="s">
        <v>285</v>
      </c>
      <c r="G292" s="17" t="s">
        <v>148</v>
      </c>
    </row>
    <row r="293" spans="1:7" x14ac:dyDescent="0.25">
      <c r="A293" s="19">
        <v>2407</v>
      </c>
      <c r="B293" s="17" t="s">
        <v>181</v>
      </c>
      <c r="C293" s="17" t="s">
        <v>360</v>
      </c>
      <c r="D293" s="17" t="s">
        <v>203</v>
      </c>
      <c r="E293" s="17" t="s">
        <v>20</v>
      </c>
      <c r="F293" s="17" t="s">
        <v>286</v>
      </c>
      <c r="G293" s="17" t="s">
        <v>148</v>
      </c>
    </row>
    <row r="294" spans="1:7" x14ac:dyDescent="0.25">
      <c r="A294" s="19">
        <v>2192</v>
      </c>
      <c r="B294" s="17" t="s">
        <v>181</v>
      </c>
      <c r="C294" s="17" t="s">
        <v>361</v>
      </c>
      <c r="D294" s="17" t="s">
        <v>14</v>
      </c>
      <c r="E294" s="17" t="s">
        <v>15</v>
      </c>
      <c r="F294" s="17" t="s">
        <v>362</v>
      </c>
      <c r="G294" s="17" t="s">
        <v>148</v>
      </c>
    </row>
    <row r="295" spans="1:7" x14ac:dyDescent="0.25">
      <c r="A295" s="19">
        <v>2231</v>
      </c>
      <c r="B295" s="17" t="s">
        <v>181</v>
      </c>
      <c r="C295" s="17" t="s">
        <v>361</v>
      </c>
      <c r="D295" s="17" t="s">
        <v>14</v>
      </c>
      <c r="E295" s="17" t="s">
        <v>16</v>
      </c>
      <c r="F295" s="17" t="s">
        <v>363</v>
      </c>
      <c r="G295" s="17" t="s">
        <v>148</v>
      </c>
    </row>
    <row r="296" spans="1:7" x14ac:dyDescent="0.25">
      <c r="A296" s="19">
        <v>2270</v>
      </c>
      <c r="B296" s="17" t="s">
        <v>181</v>
      </c>
      <c r="C296" s="17" t="s">
        <v>361</v>
      </c>
      <c r="D296" s="17" t="s">
        <v>14</v>
      </c>
      <c r="E296" s="17" t="s">
        <v>17</v>
      </c>
      <c r="F296" s="17" t="s">
        <v>364</v>
      </c>
      <c r="G296" s="17" t="s">
        <v>148</v>
      </c>
    </row>
    <row r="297" spans="1:7" x14ac:dyDescent="0.25">
      <c r="A297" s="19">
        <v>2309</v>
      </c>
      <c r="B297" s="17" t="s">
        <v>181</v>
      </c>
      <c r="C297" s="17" t="s">
        <v>361</v>
      </c>
      <c r="D297" s="17" t="s">
        <v>14</v>
      </c>
      <c r="E297" s="17" t="s">
        <v>18</v>
      </c>
      <c r="F297" s="17" t="s">
        <v>365</v>
      </c>
      <c r="G297" s="17" t="s">
        <v>148</v>
      </c>
    </row>
    <row r="298" spans="1:7" x14ac:dyDescent="0.25">
      <c r="A298" s="19">
        <v>2349</v>
      </c>
      <c r="B298" s="17" t="s">
        <v>181</v>
      </c>
      <c r="C298" s="17" t="s">
        <v>361</v>
      </c>
      <c r="D298" s="17" t="s">
        <v>14</v>
      </c>
      <c r="E298" s="17" t="s">
        <v>19</v>
      </c>
      <c r="F298" s="17" t="s">
        <v>366</v>
      </c>
      <c r="G298" s="17" t="s">
        <v>148</v>
      </c>
    </row>
    <row r="299" spans="1:7" x14ac:dyDescent="0.25">
      <c r="A299" s="19">
        <v>2388</v>
      </c>
      <c r="B299" s="17" t="s">
        <v>181</v>
      </c>
      <c r="C299" s="17" t="s">
        <v>361</v>
      </c>
      <c r="D299" s="17" t="s">
        <v>14</v>
      </c>
      <c r="E299" s="17" t="s">
        <v>20</v>
      </c>
      <c r="F299" s="17" t="s">
        <v>367</v>
      </c>
      <c r="G299" s="17" t="s">
        <v>148</v>
      </c>
    </row>
    <row r="300" spans="1:7" x14ac:dyDescent="0.25">
      <c r="A300" s="19">
        <v>1656</v>
      </c>
      <c r="B300" s="17" t="s">
        <v>181</v>
      </c>
      <c r="C300" s="17" t="s">
        <v>361</v>
      </c>
      <c r="D300" s="17" t="s">
        <v>14</v>
      </c>
      <c r="E300" s="17" t="s">
        <v>189</v>
      </c>
      <c r="F300" s="17" t="s">
        <v>368</v>
      </c>
      <c r="G300" s="17" t="s">
        <v>148</v>
      </c>
    </row>
    <row r="301" spans="1:7" x14ac:dyDescent="0.25">
      <c r="A301" s="19">
        <v>1664</v>
      </c>
      <c r="B301" s="17" t="s">
        <v>181</v>
      </c>
      <c r="C301" s="17" t="s">
        <v>361</v>
      </c>
      <c r="D301" s="17" t="s">
        <v>14</v>
      </c>
      <c r="E301" s="17" t="s">
        <v>191</v>
      </c>
      <c r="F301" s="17" t="s">
        <v>369</v>
      </c>
      <c r="G301" s="17" t="s">
        <v>148</v>
      </c>
    </row>
    <row r="302" spans="1:7" x14ac:dyDescent="0.25">
      <c r="A302" s="19">
        <v>1673</v>
      </c>
      <c r="B302" s="17" t="s">
        <v>181</v>
      </c>
      <c r="C302" s="17" t="s">
        <v>361</v>
      </c>
      <c r="D302" s="17" t="s">
        <v>14</v>
      </c>
      <c r="E302" s="17" t="s">
        <v>14</v>
      </c>
      <c r="F302" s="17" t="s">
        <v>370</v>
      </c>
      <c r="G302" s="17" t="s">
        <v>148</v>
      </c>
    </row>
    <row r="303" spans="1:7" x14ac:dyDescent="0.25">
      <c r="A303" s="19">
        <v>2202</v>
      </c>
      <c r="B303" s="17" t="s">
        <v>181</v>
      </c>
      <c r="C303" s="17" t="s">
        <v>361</v>
      </c>
      <c r="D303" s="17" t="s">
        <v>21</v>
      </c>
      <c r="E303" s="17" t="s">
        <v>15</v>
      </c>
      <c r="F303" s="17" t="s">
        <v>371</v>
      </c>
      <c r="G303" s="17" t="s">
        <v>148</v>
      </c>
    </row>
    <row r="304" spans="1:7" x14ac:dyDescent="0.25">
      <c r="A304" s="19">
        <v>2241</v>
      </c>
      <c r="B304" s="17" t="s">
        <v>181</v>
      </c>
      <c r="C304" s="17" t="s">
        <v>361</v>
      </c>
      <c r="D304" s="17" t="s">
        <v>21</v>
      </c>
      <c r="E304" s="17" t="s">
        <v>16</v>
      </c>
      <c r="F304" s="17" t="s">
        <v>372</v>
      </c>
      <c r="G304" s="17" t="s">
        <v>148</v>
      </c>
    </row>
    <row r="305" spans="1:7" x14ac:dyDescent="0.25">
      <c r="A305" s="19">
        <v>2280</v>
      </c>
      <c r="B305" s="17" t="s">
        <v>181</v>
      </c>
      <c r="C305" s="17" t="s">
        <v>361</v>
      </c>
      <c r="D305" s="17" t="s">
        <v>21</v>
      </c>
      <c r="E305" s="17" t="s">
        <v>17</v>
      </c>
      <c r="F305" s="17" t="s">
        <v>373</v>
      </c>
      <c r="G305" s="17" t="s">
        <v>148</v>
      </c>
    </row>
    <row r="306" spans="1:7" x14ac:dyDescent="0.25">
      <c r="A306" s="19">
        <v>2319</v>
      </c>
      <c r="B306" s="17" t="s">
        <v>181</v>
      </c>
      <c r="C306" s="17" t="s">
        <v>361</v>
      </c>
      <c r="D306" s="17" t="s">
        <v>21</v>
      </c>
      <c r="E306" s="17" t="s">
        <v>18</v>
      </c>
      <c r="F306" s="17" t="s">
        <v>374</v>
      </c>
      <c r="G306" s="17" t="s">
        <v>148</v>
      </c>
    </row>
    <row r="307" spans="1:7" x14ac:dyDescent="0.25">
      <c r="A307" s="19">
        <v>2359</v>
      </c>
      <c r="B307" s="17" t="s">
        <v>181</v>
      </c>
      <c r="C307" s="17" t="s">
        <v>361</v>
      </c>
      <c r="D307" s="17" t="s">
        <v>21</v>
      </c>
      <c r="E307" s="17" t="s">
        <v>19</v>
      </c>
      <c r="F307" s="17" t="s">
        <v>375</v>
      </c>
      <c r="G307" s="17" t="s">
        <v>148</v>
      </c>
    </row>
    <row r="308" spans="1:7" x14ac:dyDescent="0.25">
      <c r="A308" s="19">
        <v>2398</v>
      </c>
      <c r="B308" s="17" t="s">
        <v>181</v>
      </c>
      <c r="C308" s="17" t="s">
        <v>361</v>
      </c>
      <c r="D308" s="17" t="s">
        <v>21</v>
      </c>
      <c r="E308" s="17" t="s">
        <v>20</v>
      </c>
      <c r="F308" s="17" t="s">
        <v>376</v>
      </c>
      <c r="G308" s="17" t="s">
        <v>148</v>
      </c>
    </row>
    <row r="309" spans="1:7" x14ac:dyDescent="0.25">
      <c r="A309" s="19">
        <v>1725</v>
      </c>
      <c r="B309" s="17" t="s">
        <v>181</v>
      </c>
      <c r="C309" s="17" t="s">
        <v>361</v>
      </c>
      <c r="D309" s="17" t="s">
        <v>21</v>
      </c>
      <c r="E309" s="17" t="s">
        <v>189</v>
      </c>
      <c r="F309" s="17" t="s">
        <v>377</v>
      </c>
      <c r="G309" s="17" t="s">
        <v>148</v>
      </c>
    </row>
    <row r="310" spans="1:7" x14ac:dyDescent="0.25">
      <c r="A310" s="19">
        <v>1732</v>
      </c>
      <c r="B310" s="17" t="s">
        <v>181</v>
      </c>
      <c r="C310" s="17" t="s">
        <v>361</v>
      </c>
      <c r="D310" s="17" t="s">
        <v>21</v>
      </c>
      <c r="E310" s="17" t="s">
        <v>191</v>
      </c>
      <c r="F310" s="17" t="s">
        <v>378</v>
      </c>
      <c r="G310" s="17" t="s">
        <v>148</v>
      </c>
    </row>
    <row r="311" spans="1:7" x14ac:dyDescent="0.25">
      <c r="A311" s="19">
        <v>1737</v>
      </c>
      <c r="B311" s="17" t="s">
        <v>181</v>
      </c>
      <c r="C311" s="17" t="s">
        <v>361</v>
      </c>
      <c r="D311" s="17" t="s">
        <v>21</v>
      </c>
      <c r="E311" s="17" t="s">
        <v>14</v>
      </c>
      <c r="F311" s="17" t="s">
        <v>379</v>
      </c>
      <c r="G311" s="17" t="s">
        <v>148</v>
      </c>
    </row>
    <row r="312" spans="1:7" x14ac:dyDescent="0.25">
      <c r="A312" s="19">
        <v>2212</v>
      </c>
      <c r="B312" s="17" t="s">
        <v>181</v>
      </c>
      <c r="C312" s="17" t="s">
        <v>361</v>
      </c>
      <c r="D312" s="17" t="s">
        <v>203</v>
      </c>
      <c r="E312" s="17" t="s">
        <v>15</v>
      </c>
      <c r="F312" s="17" t="s">
        <v>380</v>
      </c>
      <c r="G312" s="17" t="s">
        <v>148</v>
      </c>
    </row>
    <row r="313" spans="1:7" x14ac:dyDescent="0.25">
      <c r="A313" s="19">
        <v>2251</v>
      </c>
      <c r="B313" s="17" t="s">
        <v>181</v>
      </c>
      <c r="C313" s="17" t="s">
        <v>361</v>
      </c>
      <c r="D313" s="17" t="s">
        <v>203</v>
      </c>
      <c r="E313" s="17" t="s">
        <v>16</v>
      </c>
      <c r="F313" s="17" t="s">
        <v>381</v>
      </c>
      <c r="G313" s="17" t="s">
        <v>148</v>
      </c>
    </row>
    <row r="314" spans="1:7" x14ac:dyDescent="0.25">
      <c r="A314" s="19">
        <v>2290</v>
      </c>
      <c r="B314" s="17" t="s">
        <v>181</v>
      </c>
      <c r="C314" s="17" t="s">
        <v>361</v>
      </c>
      <c r="D314" s="17" t="s">
        <v>203</v>
      </c>
      <c r="E314" s="17" t="s">
        <v>17</v>
      </c>
      <c r="F314" s="17" t="s">
        <v>382</v>
      </c>
      <c r="G314" s="17" t="s">
        <v>148</v>
      </c>
    </row>
    <row r="315" spans="1:7" x14ac:dyDescent="0.25">
      <c r="A315" s="19">
        <v>2329</v>
      </c>
      <c r="B315" s="17" t="s">
        <v>181</v>
      </c>
      <c r="C315" s="17" t="s">
        <v>361</v>
      </c>
      <c r="D315" s="17" t="s">
        <v>203</v>
      </c>
      <c r="E315" s="17" t="s">
        <v>18</v>
      </c>
      <c r="F315" s="17" t="s">
        <v>383</v>
      </c>
      <c r="G315" s="17" t="s">
        <v>148</v>
      </c>
    </row>
    <row r="316" spans="1:7" x14ac:dyDescent="0.25">
      <c r="A316" s="19">
        <v>2369</v>
      </c>
      <c r="B316" s="17" t="s">
        <v>181</v>
      </c>
      <c r="C316" s="17" t="s">
        <v>361</v>
      </c>
      <c r="D316" s="17" t="s">
        <v>203</v>
      </c>
      <c r="E316" s="17" t="s">
        <v>19</v>
      </c>
      <c r="F316" s="17" t="s">
        <v>384</v>
      </c>
      <c r="G316" s="17" t="s">
        <v>148</v>
      </c>
    </row>
    <row r="317" spans="1:7" x14ac:dyDescent="0.25">
      <c r="A317" s="19">
        <v>2408</v>
      </c>
      <c r="B317" s="17" t="s">
        <v>181</v>
      </c>
      <c r="C317" s="17" t="s">
        <v>361</v>
      </c>
      <c r="D317" s="17" t="s">
        <v>203</v>
      </c>
      <c r="E317" s="17" t="s">
        <v>20</v>
      </c>
      <c r="F317" s="17" t="s">
        <v>385</v>
      </c>
      <c r="G317" s="17" t="s">
        <v>148</v>
      </c>
    </row>
    <row r="320" spans="1:7" x14ac:dyDescent="0.25">
      <c r="A320" s="21">
        <v>32</v>
      </c>
      <c r="B320" s="22" t="s">
        <v>181</v>
      </c>
      <c r="C320" s="22" t="s">
        <v>150</v>
      </c>
      <c r="D320" s="22" t="s">
        <v>151</v>
      </c>
      <c r="E320" s="21">
        <v>4</v>
      </c>
      <c r="F320" s="22" t="s">
        <v>386</v>
      </c>
      <c r="G320" s="22" t="s">
        <v>148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showGridLines="0" topLeftCell="A260" zoomScaleNormal="100" workbookViewId="0">
      <selection activeCell="P50" sqref="J33:P50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6.28515625" customWidth="1"/>
    <col min="11" max="11" width="12.42578125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2" spans="2:9" ht="21" x14ac:dyDescent="0.35">
      <c r="B2" s="178" t="s">
        <v>681</v>
      </c>
      <c r="C2" s="178"/>
      <c r="D2" s="178"/>
      <c r="E2" s="178"/>
      <c r="F2" s="178"/>
      <c r="G2" s="178"/>
      <c r="H2" s="178"/>
      <c r="I2" s="178"/>
    </row>
    <row r="5" spans="2:9" x14ac:dyDescent="0.25">
      <c r="B5" s="218" t="s">
        <v>643</v>
      </c>
      <c r="C5" s="219"/>
      <c r="D5" s="117" t="s">
        <v>644</v>
      </c>
      <c r="E5" s="117" t="s">
        <v>641</v>
      </c>
      <c r="F5" s="117" t="s">
        <v>642</v>
      </c>
    </row>
    <row r="6" spans="2:9" x14ac:dyDescent="0.25">
      <c r="B6" s="220" t="s">
        <v>646</v>
      </c>
      <c r="C6" s="221"/>
      <c r="D6" s="118">
        <v>37589.96</v>
      </c>
      <c r="E6" s="118">
        <v>39717.69</v>
      </c>
      <c r="F6" s="118">
        <v>41845.49</v>
      </c>
    </row>
    <row r="7" spans="2:9" x14ac:dyDescent="0.25">
      <c r="B7" s="220" t="s">
        <v>645</v>
      </c>
      <c r="C7" s="221"/>
      <c r="D7" s="118">
        <v>35710.46</v>
      </c>
      <c r="E7" s="118">
        <v>37731.800000000003</v>
      </c>
      <c r="F7" s="118">
        <v>39753.21</v>
      </c>
    </row>
    <row r="8" spans="2:9" x14ac:dyDescent="0.25">
      <c r="B8" t="s">
        <v>670</v>
      </c>
    </row>
    <row r="10" spans="2:9" x14ac:dyDescent="0.25">
      <c r="B10" s="222" t="s">
        <v>672</v>
      </c>
      <c r="C10" s="215" t="s">
        <v>673</v>
      </c>
      <c r="D10" s="215"/>
      <c r="E10" s="215"/>
      <c r="F10" s="125" t="s">
        <v>674</v>
      </c>
    </row>
    <row r="11" spans="2:9" x14ac:dyDescent="0.25">
      <c r="B11" s="222"/>
      <c r="C11" s="215" t="s">
        <v>675</v>
      </c>
      <c r="D11" s="215"/>
      <c r="E11" s="215"/>
      <c r="F11" s="125" t="s">
        <v>676</v>
      </c>
    </row>
    <row r="12" spans="2:9" x14ac:dyDescent="0.25">
      <c r="B12" s="212" t="s">
        <v>671</v>
      </c>
      <c r="C12" s="213"/>
      <c r="D12" s="213"/>
      <c r="E12" s="126"/>
    </row>
    <row r="13" spans="2:9" x14ac:dyDescent="0.25">
      <c r="B13" s="126"/>
      <c r="C13" s="126"/>
      <c r="D13" s="127"/>
      <c r="E13" s="126"/>
    </row>
    <row r="14" spans="2:9" ht="28.5" customHeight="1" x14ac:dyDescent="0.25">
      <c r="B14" s="214" t="s">
        <v>677</v>
      </c>
      <c r="C14" s="215" t="s">
        <v>684</v>
      </c>
      <c r="D14" s="215"/>
      <c r="E14" s="215"/>
      <c r="F14" s="125" t="s">
        <v>674</v>
      </c>
    </row>
    <row r="15" spans="2:9" ht="47.25" customHeight="1" x14ac:dyDescent="0.25">
      <c r="B15" s="214"/>
      <c r="C15" s="214" t="s">
        <v>679</v>
      </c>
      <c r="D15" s="214"/>
      <c r="E15" s="214"/>
      <c r="F15" s="125" t="s">
        <v>676</v>
      </c>
    </row>
    <row r="16" spans="2:9" ht="31.5" customHeight="1" x14ac:dyDescent="0.25">
      <c r="B16" s="216" t="s">
        <v>683</v>
      </c>
      <c r="C16" s="213"/>
      <c r="D16" s="213"/>
      <c r="E16" s="126"/>
    </row>
    <row r="17" spans="2:9" x14ac:dyDescent="0.25">
      <c r="B17" s="126"/>
      <c r="C17" s="126"/>
      <c r="D17" s="127"/>
      <c r="E17" s="126"/>
    </row>
    <row r="18" spans="2:9" x14ac:dyDescent="0.25">
      <c r="B18" s="217" t="s">
        <v>627</v>
      </c>
      <c r="C18" s="217"/>
      <c r="D18" s="127"/>
      <c r="E18" s="126"/>
    </row>
    <row r="19" spans="2:9" ht="31.5" customHeight="1" x14ac:dyDescent="0.25">
      <c r="B19" s="210" t="s">
        <v>640</v>
      </c>
      <c r="C19" s="211"/>
      <c r="D19" s="127"/>
      <c r="E19" s="126"/>
    </row>
    <row r="20" spans="2:9" x14ac:dyDescent="0.25">
      <c r="B20" s="128" t="s">
        <v>682</v>
      </c>
      <c r="C20" s="126"/>
      <c r="D20" s="127"/>
      <c r="E20" s="126"/>
    </row>
    <row r="21" spans="2:9" x14ac:dyDescent="0.25">
      <c r="B21" s="126"/>
      <c r="C21" s="126"/>
      <c r="D21" s="126"/>
      <c r="E21" s="126"/>
    </row>
    <row r="24" spans="2:9" ht="21" x14ac:dyDescent="0.35">
      <c r="B24" s="178" t="s">
        <v>647</v>
      </c>
      <c r="C24" s="178"/>
      <c r="D24" s="178"/>
      <c r="E24" s="178"/>
      <c r="F24" s="178"/>
      <c r="G24" s="178"/>
      <c r="H24" s="178"/>
      <c r="I24" s="178"/>
    </row>
    <row r="27" spans="2:9" x14ac:dyDescent="0.25">
      <c r="B27" s="205" t="s">
        <v>2</v>
      </c>
      <c r="C27" s="205"/>
      <c r="D27" s="205"/>
      <c r="E27" s="205"/>
      <c r="F27" s="205"/>
      <c r="G27" s="205"/>
      <c r="H27" s="205"/>
      <c r="I27" s="205"/>
    </row>
    <row r="29" spans="2:9" x14ac:dyDescent="0.25">
      <c r="B29" s="204" t="s">
        <v>3</v>
      </c>
      <c r="C29" s="204"/>
      <c r="D29" s="204"/>
      <c r="E29" s="204"/>
      <c r="F29" s="204"/>
      <c r="G29" s="204"/>
      <c r="H29" s="204"/>
      <c r="I29" s="204"/>
    </row>
    <row r="30" spans="2:9" x14ac:dyDescent="0.25">
      <c r="B30" s="183" t="s">
        <v>4</v>
      </c>
      <c r="C30" s="183"/>
      <c r="D30" s="204" t="s">
        <v>5</v>
      </c>
      <c r="E30" s="204"/>
      <c r="F30" s="204"/>
      <c r="G30" s="183" t="s">
        <v>6</v>
      </c>
      <c r="H30" s="183"/>
      <c r="I30" s="2" t="s">
        <v>7</v>
      </c>
    </row>
    <row r="31" spans="2:9" ht="45" x14ac:dyDescent="0.25">
      <c r="B31" s="183"/>
      <c r="C31" s="183"/>
      <c r="D31" s="146" t="s">
        <v>8</v>
      </c>
      <c r="E31" s="147" t="s">
        <v>9</v>
      </c>
      <c r="F31" s="147" t="s">
        <v>10</v>
      </c>
      <c r="G31" s="147" t="s">
        <v>8</v>
      </c>
      <c r="H31" s="147" t="s">
        <v>9</v>
      </c>
      <c r="I31" s="147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15" x14ac:dyDescent="0.25">
      <c r="B33" s="181" t="s">
        <v>14</v>
      </c>
      <c r="C33" s="152" t="s">
        <v>15</v>
      </c>
      <c r="D33" s="3">
        <f>8686.95*(ROUND(1.05,2))</f>
        <v>9121.2975000000006</v>
      </c>
      <c r="E33" s="161">
        <f>4421.49*(ROUND(1.05,2))</f>
        <v>4642.5645000000004</v>
      </c>
      <c r="F33" s="161">
        <f>2815.81*(ROUND(1.05,2))</f>
        <v>2956.6005</v>
      </c>
      <c r="G33" s="3">
        <f t="shared" ref="G33:I35" si="0">0*(ROUND(1.05,2))</f>
        <v>0</v>
      </c>
      <c r="H33" s="3">
        <f t="shared" si="0"/>
        <v>0</v>
      </c>
      <c r="I33" s="3">
        <f t="shared" si="0"/>
        <v>0</v>
      </c>
      <c r="J33" s="155"/>
      <c r="K33" s="155"/>
      <c r="L33" s="155"/>
      <c r="M33" s="155"/>
      <c r="N33" s="155"/>
      <c r="O33" s="155"/>
    </row>
    <row r="34" spans="2:15" x14ac:dyDescent="0.25">
      <c r="B34" s="181"/>
      <c r="C34" s="152" t="s">
        <v>16</v>
      </c>
      <c r="D34" s="3">
        <f>8947.56*(ROUND(1.05,2))</f>
        <v>9394.9380000000001</v>
      </c>
      <c r="E34" s="161">
        <f>4554.13*(ROUND(1.05,2))</f>
        <v>4781.8365000000003</v>
      </c>
      <c r="F34" s="161">
        <f>2900.28*(ROUND(1.05,2))</f>
        <v>3045.2940000000003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155"/>
      <c r="K34" s="155"/>
      <c r="L34" s="155"/>
      <c r="M34" s="155"/>
      <c r="N34" s="155"/>
      <c r="O34" s="155"/>
    </row>
    <row r="35" spans="2:15" x14ac:dyDescent="0.25">
      <c r="B35" s="181"/>
      <c r="C35" s="152" t="s">
        <v>17</v>
      </c>
      <c r="D35" s="3">
        <f>9215.99*(ROUND(1.05,2))</f>
        <v>9676.7895000000008</v>
      </c>
      <c r="E35" s="161">
        <f>4690.75*(ROUND(1.05,2))</f>
        <v>4925.2875000000004</v>
      </c>
      <c r="F35" s="161">
        <f>2987.28*(ROUND(1.05,2))</f>
        <v>3136.6440000000002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155"/>
      <c r="K35" s="155"/>
      <c r="L35" s="155"/>
      <c r="M35" s="155"/>
      <c r="N35" s="155"/>
      <c r="O35" s="155"/>
    </row>
    <row r="36" spans="2:15" x14ac:dyDescent="0.25">
      <c r="B36" s="181"/>
      <c r="C36" s="152" t="s">
        <v>18</v>
      </c>
      <c r="D36" s="3">
        <f>9492.47*(ROUND(1.05,2))</f>
        <v>9967.093499999999</v>
      </c>
      <c r="E36" s="161">
        <f>4831.49*(ROUND(1.05,2))</f>
        <v>5073.0645000000004</v>
      </c>
      <c r="F36" s="161">
        <f>3076.9*(ROUND(1.05,2))</f>
        <v>3230.7450000000003</v>
      </c>
      <c r="G36" s="3">
        <f>10916.32*(ROUND(1.05,2))</f>
        <v>11462.136</v>
      </c>
      <c r="H36" s="3">
        <f>5556.2*(ROUND(1.05,2))</f>
        <v>5834.01</v>
      </c>
      <c r="I36" s="3">
        <f t="shared" ref="I36:I41" si="1">0*(ROUND(1.05,2))</f>
        <v>0</v>
      </c>
      <c r="J36" s="155"/>
      <c r="K36" s="155"/>
      <c r="L36" s="155"/>
      <c r="M36" s="155"/>
      <c r="N36" s="155"/>
      <c r="O36" s="155"/>
    </row>
    <row r="37" spans="2:15" x14ac:dyDescent="0.25">
      <c r="B37" s="181"/>
      <c r="C37" s="152" t="s">
        <v>19</v>
      </c>
      <c r="D37" s="3">
        <f>9777.24*(ROUND(1.05,2))</f>
        <v>10266.102000000001</v>
      </c>
      <c r="E37" s="161">
        <f>4976.43*(ROUND(1.05,2))</f>
        <v>5225.2515000000003</v>
      </c>
      <c r="F37" s="161">
        <f>3169.21*(ROUND(1.05,2))</f>
        <v>3327.6705000000002</v>
      </c>
      <c r="G37" s="3">
        <f>11243.83*(ROUND(1.05,2))</f>
        <v>11806.021500000001</v>
      </c>
      <c r="H37" s="3">
        <f>5722.89*(ROUND(1.05,2))</f>
        <v>6009.0345000000007</v>
      </c>
      <c r="I37" s="3">
        <f t="shared" si="1"/>
        <v>0</v>
      </c>
      <c r="J37" s="155"/>
      <c r="K37" s="155"/>
      <c r="L37" s="155"/>
      <c r="M37" s="155"/>
      <c r="N37" s="155"/>
      <c r="O37" s="155"/>
    </row>
    <row r="38" spans="2:15" x14ac:dyDescent="0.25">
      <c r="B38" s="181"/>
      <c r="C38" s="152" t="s">
        <v>20</v>
      </c>
      <c r="D38" s="3">
        <f>10070.55*(ROUND(1.05,2))</f>
        <v>10574.077499999999</v>
      </c>
      <c r="E38" s="161">
        <f>5125.72*(ROUND(1.05,2))</f>
        <v>5382.0060000000003</v>
      </c>
      <c r="F38" s="161">
        <f>3264.28*(ROUND(1.05,2))</f>
        <v>3427.4940000000001</v>
      </c>
      <c r="G38" s="3">
        <f>11581.14*(ROUND(1.05,2))</f>
        <v>12160.197</v>
      </c>
      <c r="H38" s="3">
        <f>5894.58*(ROUND(1.05,2))</f>
        <v>6189.3090000000002</v>
      </c>
      <c r="I38" s="3">
        <f t="shared" si="1"/>
        <v>0</v>
      </c>
      <c r="J38" s="155"/>
      <c r="K38" s="155"/>
      <c r="L38" s="155"/>
      <c r="M38" s="155"/>
      <c r="N38" s="155"/>
      <c r="O38" s="155"/>
    </row>
    <row r="39" spans="2:15" x14ac:dyDescent="0.25">
      <c r="B39" s="179" t="s">
        <v>21</v>
      </c>
      <c r="C39" s="152" t="s">
        <v>15</v>
      </c>
      <c r="D39" s="3">
        <f>10574.09*(ROUND(1.05,2))</f>
        <v>11102.7945</v>
      </c>
      <c r="E39" s="161">
        <f>5382*(ROUND(1.05,2))</f>
        <v>5651.1</v>
      </c>
      <c r="F39" s="161">
        <f>3427.49*(ROUND(1.05,2))</f>
        <v>3598.8645000000001</v>
      </c>
      <c r="G39" s="3">
        <f>12160.2*(ROUND(1.05,2))</f>
        <v>12768.210000000001</v>
      </c>
      <c r="H39" s="3">
        <f>6189.31*(ROUND(1.05,2))</f>
        <v>6498.7755000000006</v>
      </c>
      <c r="I39" s="3">
        <f t="shared" si="1"/>
        <v>0</v>
      </c>
      <c r="J39" s="155"/>
      <c r="K39" s="155"/>
      <c r="L39" s="155"/>
      <c r="M39" s="155"/>
      <c r="N39" s="155"/>
      <c r="O39" s="155"/>
    </row>
    <row r="40" spans="2:15" x14ac:dyDescent="0.25">
      <c r="B40" s="179"/>
      <c r="C40" s="152" t="s">
        <v>16</v>
      </c>
      <c r="D40" s="3">
        <f>10891.32*(ROUND(1.05,2))</f>
        <v>11435.886</v>
      </c>
      <c r="E40" s="161">
        <f>5543.46*(ROUND(1.05,2))</f>
        <v>5820.6330000000007</v>
      </c>
      <c r="F40" s="161">
        <f>3530.32*(ROUND(1.05,2))</f>
        <v>3706.8360000000002</v>
      </c>
      <c r="G40" s="3">
        <f>12525.01*(ROUND(1.05,2))</f>
        <v>13151.2605</v>
      </c>
      <c r="H40" s="3">
        <f>6374.99*(ROUND(1.05,2))</f>
        <v>6693.7394999999997</v>
      </c>
      <c r="I40" s="3">
        <f t="shared" si="1"/>
        <v>0</v>
      </c>
      <c r="J40" s="155"/>
      <c r="K40" s="155"/>
      <c r="L40" s="155"/>
      <c r="M40" s="155"/>
      <c r="N40" s="155"/>
      <c r="O40" s="155"/>
    </row>
    <row r="41" spans="2:15" x14ac:dyDescent="0.25">
      <c r="B41" s="179"/>
      <c r="C41" s="152" t="s">
        <v>17</v>
      </c>
      <c r="D41" s="3">
        <f>11218.06*(ROUND(1.05,2))</f>
        <v>11778.963</v>
      </c>
      <c r="E41" s="161">
        <f>5709.77*(ROUND(1.05,2))</f>
        <v>5995.2585000000008</v>
      </c>
      <c r="F41" s="161">
        <f>3636.21*(ROUND(1.05,2))</f>
        <v>3818.0205000000001</v>
      </c>
      <c r="G41" s="3">
        <f>12900.77*(ROUND(1.05,2))</f>
        <v>13545.808500000001</v>
      </c>
      <c r="H41" s="3">
        <f>6566.24*(ROUND(1.05,2))</f>
        <v>6894.5519999999997</v>
      </c>
      <c r="I41" s="3">
        <f t="shared" si="1"/>
        <v>0</v>
      </c>
      <c r="J41" s="155"/>
      <c r="K41" s="155"/>
      <c r="L41" s="155"/>
      <c r="M41" s="155"/>
      <c r="N41" s="155"/>
      <c r="O41" s="155"/>
    </row>
    <row r="42" spans="2:15" x14ac:dyDescent="0.25">
      <c r="B42" s="179"/>
      <c r="C42" s="152" t="s">
        <v>18</v>
      </c>
      <c r="D42" s="3">
        <f>11554.6*(ROUND(1.05,2))</f>
        <v>12132.330000000002</v>
      </c>
      <c r="E42" s="161">
        <f>5881.06*(ROUND(1.05,2))</f>
        <v>6175.1130000000003</v>
      </c>
      <c r="F42" s="161">
        <f>3745.3*(ROUND(1.05,2))</f>
        <v>3932.5650000000005</v>
      </c>
      <c r="G42" s="3">
        <f>13287.79*(ROUND(1.05,2))</f>
        <v>13952.179500000002</v>
      </c>
      <c r="H42" s="3">
        <f>6763.23*(ROUND(1.05,2))</f>
        <v>7101.3914999999997</v>
      </c>
      <c r="I42" s="3">
        <f>15280.95*(ROUND(1.05,2))</f>
        <v>16044.997500000001</v>
      </c>
      <c r="J42" s="155"/>
      <c r="K42" s="155"/>
      <c r="L42" s="155"/>
      <c r="M42" s="155"/>
      <c r="N42" s="155"/>
      <c r="O42" s="155"/>
    </row>
    <row r="43" spans="2:15" x14ac:dyDescent="0.25">
      <c r="B43" s="179"/>
      <c r="C43" s="152" t="s">
        <v>19</v>
      </c>
      <c r="D43" s="3">
        <f>11901.24*(ROUND(1.05,2))</f>
        <v>12496.302</v>
      </c>
      <c r="E43" s="161">
        <f>6057.49*(ROUND(1.05,2))</f>
        <v>6360.3644999999997</v>
      </c>
      <c r="F43" s="161">
        <f>3857.66*(ROUND(1.05,2))</f>
        <v>4050.5430000000001</v>
      </c>
      <c r="G43" s="3">
        <f>13686.43*(ROUND(1.05,2))</f>
        <v>14370.7515</v>
      </c>
      <c r="H43" s="3">
        <f>6966.12*(ROUND(1.05,2))</f>
        <v>7314.4260000000004</v>
      </c>
      <c r="I43" s="3">
        <f>15739.38*(ROUND(1.05,2))</f>
        <v>16526.348999999998</v>
      </c>
      <c r="J43" s="155"/>
      <c r="K43" s="155"/>
      <c r="L43" s="155"/>
      <c r="M43" s="155"/>
      <c r="N43" s="155"/>
      <c r="O43" s="155"/>
    </row>
    <row r="44" spans="2:15" x14ac:dyDescent="0.25">
      <c r="B44" s="179"/>
      <c r="C44" s="152" t="s">
        <v>20</v>
      </c>
      <c r="D44" s="3">
        <f>12258.27*(ROUND(1.05,2))</f>
        <v>12871.183500000001</v>
      </c>
      <c r="E44" s="161">
        <f>6239.21*(ROUND(1.05,2))</f>
        <v>6551.1705000000002</v>
      </c>
      <c r="F44" s="161">
        <f>3973.39*(ROUND(1.05,2))</f>
        <v>4172.0595000000003</v>
      </c>
      <c r="G44" s="3">
        <f>14097.02*(ROUND(1.05,2))</f>
        <v>14801.871000000001</v>
      </c>
      <c r="H44" s="3">
        <f>7175.11*(ROUND(1.05,2))</f>
        <v>7533.8654999999999</v>
      </c>
      <c r="I44" s="3">
        <f>16211.57*(ROUND(1.05,2))</f>
        <v>17022.148499999999</v>
      </c>
      <c r="J44" s="155"/>
      <c r="K44" s="155"/>
      <c r="L44" s="155"/>
      <c r="M44" s="155"/>
      <c r="N44" s="155"/>
      <c r="O44" s="155"/>
    </row>
    <row r="45" spans="2:15" x14ac:dyDescent="0.25">
      <c r="B45" s="179" t="s">
        <v>22</v>
      </c>
      <c r="C45" s="152" t="s">
        <v>15</v>
      </c>
      <c r="D45" s="3">
        <f>12871.19*(ROUND(1.05,2))</f>
        <v>13514.749500000002</v>
      </c>
      <c r="E45" s="161">
        <f>6551.17*(ROUND(1.05,2))</f>
        <v>6878.7285000000002</v>
      </c>
      <c r="F45" s="161">
        <f>4172.07*(ROUND(1.05,2))</f>
        <v>4380.6734999999999</v>
      </c>
      <c r="G45" s="3">
        <f>14801.88*(ROUND(1.05,2))</f>
        <v>15541.974</v>
      </c>
      <c r="H45" s="3">
        <f>7533.86*(ROUND(1.05,2))</f>
        <v>7910.5529999999999</v>
      </c>
      <c r="I45" s="3">
        <f>17022.14*(ROUND(1.05,2))</f>
        <v>17873.246999999999</v>
      </c>
      <c r="J45" s="155"/>
      <c r="K45" s="155"/>
      <c r="L45" s="155"/>
      <c r="M45" s="155"/>
      <c r="N45" s="155"/>
      <c r="O45" s="155"/>
    </row>
    <row r="46" spans="2:15" x14ac:dyDescent="0.25">
      <c r="B46" s="179"/>
      <c r="C46" s="152" t="s">
        <v>16</v>
      </c>
      <c r="D46" s="3">
        <f>13257.32*(ROUND(1.05,2))</f>
        <v>13920.186</v>
      </c>
      <c r="E46" s="161">
        <f>6747.72*(ROUND(1.05,2))</f>
        <v>7085.1060000000007</v>
      </c>
      <c r="F46" s="161">
        <f>4297.22*(ROUND(1.05,2))</f>
        <v>4512.0810000000001</v>
      </c>
      <c r="G46" s="3">
        <f>15245.93*(ROUND(1.05,2))</f>
        <v>16008.226500000001</v>
      </c>
      <c r="H46" s="3">
        <f>7759.9*(ROUND(1.05,2))</f>
        <v>8147.8949999999995</v>
      </c>
      <c r="I46" s="3">
        <f>17532.81*(ROUND(1.05,2))</f>
        <v>18409.450500000003</v>
      </c>
      <c r="J46" s="155"/>
      <c r="K46" s="155"/>
      <c r="L46" s="155"/>
      <c r="M46" s="155"/>
      <c r="N46" s="155"/>
      <c r="O46" s="155"/>
    </row>
    <row r="47" spans="2:15" x14ac:dyDescent="0.25">
      <c r="B47" s="179"/>
      <c r="C47" s="152" t="s">
        <v>17</v>
      </c>
      <c r="D47" s="3">
        <f>13655.04*(ROUND(1.05,2))</f>
        <v>14337.792000000001</v>
      </c>
      <c r="E47" s="161">
        <f>6950.15*(ROUND(1.05,2))</f>
        <v>7297.6575000000003</v>
      </c>
      <c r="F47" s="161">
        <f>4426.14*(ROUND(1.05,2))</f>
        <v>4647.4470000000001</v>
      </c>
      <c r="G47" s="3">
        <f>15703.32*(ROUND(1.05,2))</f>
        <v>16488.486000000001</v>
      </c>
      <c r="H47" s="3">
        <f>7992.68*(ROUND(1.05,2))</f>
        <v>8392.3140000000003</v>
      </c>
      <c r="I47" s="3">
        <f>18058.8*(ROUND(1.05,2))</f>
        <v>18961.740000000002</v>
      </c>
      <c r="J47" s="155"/>
      <c r="K47" s="155"/>
      <c r="L47" s="155"/>
      <c r="M47" s="155"/>
      <c r="N47" s="155"/>
      <c r="O47" s="155"/>
    </row>
    <row r="48" spans="2:15" x14ac:dyDescent="0.25">
      <c r="B48" s="179"/>
      <c r="C48" s="152" t="s">
        <v>18</v>
      </c>
      <c r="D48" s="3">
        <f>14064.7*(ROUND(1.05,2))</f>
        <v>14767.935000000001</v>
      </c>
      <c r="E48" s="161">
        <f>7158.65*(ROUND(1.05,2))</f>
        <v>7516.5824999999995</v>
      </c>
      <c r="F48" s="161">
        <f>4558.92*(ROUND(1.05,2))</f>
        <v>4786.866</v>
      </c>
      <c r="G48" s="3">
        <f>16174.41*(ROUND(1.05,2))</f>
        <v>16983.130499999999</v>
      </c>
      <c r="H48" s="3">
        <f>8232.47*(ROUND(1.05,2))</f>
        <v>8644.093499999999</v>
      </c>
      <c r="I48" s="3">
        <f>18600.57*(ROUND(1.05,2))</f>
        <v>19530.5985</v>
      </c>
      <c r="J48" s="155"/>
      <c r="K48" s="155"/>
      <c r="L48" s="155"/>
      <c r="M48" s="155"/>
      <c r="N48" s="155"/>
      <c r="O48" s="155"/>
    </row>
    <row r="49" spans="2:15" x14ac:dyDescent="0.25">
      <c r="B49" s="179"/>
      <c r="C49" s="152" t="s">
        <v>19</v>
      </c>
      <c r="D49" s="3">
        <f>14486.64*(ROUND(1.05,2))</f>
        <v>15210.972</v>
      </c>
      <c r="E49" s="161">
        <f>7373.4*(ROUND(1.05,2))</f>
        <v>7742.07</v>
      </c>
      <c r="F49" s="161">
        <f>4695.7*(ROUND(1.05,2))</f>
        <v>4930.4849999999997</v>
      </c>
      <c r="G49" s="3">
        <f>16659.63*(ROUND(1.05,2))</f>
        <v>17492.611500000003</v>
      </c>
      <c r="H49" s="3">
        <f>8479.45*(ROUND(1.05,2))</f>
        <v>8903.4225000000006</v>
      </c>
      <c r="I49" s="3">
        <f>19158.58*(ROUND(1.05,2))</f>
        <v>20116.509000000002</v>
      </c>
      <c r="J49" s="155"/>
      <c r="K49" s="155"/>
      <c r="L49" s="155"/>
      <c r="M49" s="155"/>
      <c r="N49" s="155"/>
      <c r="O49" s="155"/>
    </row>
    <row r="50" spans="2:15" x14ac:dyDescent="0.25">
      <c r="B50" s="179"/>
      <c r="C50" s="152" t="s">
        <v>20</v>
      </c>
      <c r="D50" s="3">
        <f>14921.24*(ROUND(1.05,2))</f>
        <v>15667.302</v>
      </c>
      <c r="E50" s="161">
        <f>7594.61*(ROUND(1.05,2))</f>
        <v>7974.3405000000002</v>
      </c>
      <c r="F50" s="161">
        <f>4836.58*(ROUND(1.05,2))</f>
        <v>5078.4090000000006</v>
      </c>
      <c r="G50" s="3">
        <f>17159.42*(ROUND(1.05,2))</f>
        <v>18017.391</v>
      </c>
      <c r="H50" s="3">
        <f>8733.83*(ROUND(1.05,2))</f>
        <v>9170.5215000000007</v>
      </c>
      <c r="I50" s="3">
        <f>19733.32*(ROUND(1.05,2))</f>
        <v>20719.986000000001</v>
      </c>
      <c r="J50" s="155"/>
      <c r="K50" s="155"/>
      <c r="L50" s="155"/>
      <c r="M50" s="155"/>
      <c r="N50" s="155"/>
      <c r="O50" s="155"/>
    </row>
    <row r="52" spans="2:15" x14ac:dyDescent="0.25">
      <c r="B52" s="205" t="s">
        <v>23</v>
      </c>
      <c r="C52" s="205"/>
      <c r="D52" s="205"/>
      <c r="E52" s="205"/>
      <c r="F52" s="205"/>
      <c r="G52" s="205"/>
      <c r="H52" s="205"/>
      <c r="I52" s="205"/>
    </row>
    <row r="54" spans="2:15" x14ac:dyDescent="0.25">
      <c r="B54" s="204" t="s">
        <v>3</v>
      </c>
      <c r="C54" s="204"/>
      <c r="D54" s="204"/>
      <c r="E54" s="204"/>
      <c r="F54" s="204"/>
      <c r="G54" s="204"/>
      <c r="H54" s="204"/>
      <c r="I54" s="204"/>
    </row>
    <row r="55" spans="2:15" x14ac:dyDescent="0.25">
      <c r="B55" s="183" t="s">
        <v>4</v>
      </c>
      <c r="C55" s="183"/>
      <c r="D55" s="2" t="s">
        <v>5</v>
      </c>
      <c r="E55" s="2"/>
      <c r="F55" s="183" t="s">
        <v>6</v>
      </c>
      <c r="G55" s="183"/>
      <c r="H55" s="204" t="s">
        <v>7</v>
      </c>
      <c r="I55" s="204"/>
    </row>
    <row r="56" spans="2:15" ht="60" x14ac:dyDescent="0.25">
      <c r="B56" s="183"/>
      <c r="C56" s="183"/>
      <c r="D56" s="146" t="s">
        <v>24</v>
      </c>
      <c r="E56" s="147" t="s">
        <v>25</v>
      </c>
      <c r="F56" s="146" t="s">
        <v>24</v>
      </c>
      <c r="G56" s="147" t="s">
        <v>25</v>
      </c>
      <c r="H56" s="146" t="s">
        <v>24</v>
      </c>
      <c r="I56" s="147" t="s">
        <v>25</v>
      </c>
    </row>
    <row r="57" spans="2:15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  <c r="J57" s="165"/>
      <c r="K57" s="165"/>
    </row>
    <row r="58" spans="2:15" x14ac:dyDescent="0.25">
      <c r="B58" s="181" t="s">
        <v>14</v>
      </c>
      <c r="C58" s="152" t="s">
        <v>15</v>
      </c>
      <c r="D58" s="161">
        <f>8686.95*(ROUND(1.05,2))</f>
        <v>9121.2975000000006</v>
      </c>
      <c r="E58" s="161">
        <f>8686.95*(ROUND(1.05,2))</f>
        <v>9121.2975000000006</v>
      </c>
      <c r="F58" s="161">
        <f t="shared" ref="F58:I66" si="2">0*(ROUND(1.05,2))</f>
        <v>0</v>
      </c>
      <c r="G58" s="161">
        <f t="shared" si="2"/>
        <v>0</v>
      </c>
      <c r="H58" s="161">
        <f t="shared" si="2"/>
        <v>0</v>
      </c>
      <c r="I58" s="161">
        <f t="shared" si="2"/>
        <v>0</v>
      </c>
      <c r="J58" s="166"/>
      <c r="K58" s="165"/>
    </row>
    <row r="59" spans="2:15" x14ac:dyDescent="0.25">
      <c r="B59" s="181"/>
      <c r="C59" s="152" t="s">
        <v>16</v>
      </c>
      <c r="D59" s="161">
        <f>8947.56*(ROUND(1.05,2))</f>
        <v>9394.9380000000001</v>
      </c>
      <c r="E59" s="161">
        <f>8947.56*(ROUND(1.05,2))</f>
        <v>9394.9380000000001</v>
      </c>
      <c r="F59" s="161">
        <f t="shared" si="2"/>
        <v>0</v>
      </c>
      <c r="G59" s="161">
        <f t="shared" si="2"/>
        <v>0</v>
      </c>
      <c r="H59" s="161">
        <f t="shared" si="2"/>
        <v>0</v>
      </c>
      <c r="I59" s="161">
        <f t="shared" si="2"/>
        <v>0</v>
      </c>
      <c r="J59" s="166"/>
      <c r="K59" s="165"/>
    </row>
    <row r="60" spans="2:15" x14ac:dyDescent="0.25">
      <c r="B60" s="181"/>
      <c r="C60" s="152" t="s">
        <v>17</v>
      </c>
      <c r="D60" s="161">
        <f>9215.99*(ROUND(1.05,2))</f>
        <v>9676.7895000000008</v>
      </c>
      <c r="E60" s="161">
        <f>9215.99*(ROUND(1.05,2))</f>
        <v>9676.7895000000008</v>
      </c>
      <c r="F60" s="161">
        <f t="shared" si="2"/>
        <v>0</v>
      </c>
      <c r="G60" s="161">
        <f t="shared" si="2"/>
        <v>0</v>
      </c>
      <c r="H60" s="161">
        <f t="shared" si="2"/>
        <v>0</v>
      </c>
      <c r="I60" s="161">
        <f t="shared" si="2"/>
        <v>0</v>
      </c>
      <c r="J60" s="166"/>
      <c r="K60" s="165"/>
    </row>
    <row r="61" spans="2:15" x14ac:dyDescent="0.25">
      <c r="B61" s="181"/>
      <c r="C61" s="152" t="s">
        <v>18</v>
      </c>
      <c r="D61" s="161">
        <f>9492.47*(ROUND(1.05,2))</f>
        <v>9967.093499999999</v>
      </c>
      <c r="E61" s="161">
        <f>9492.47*(ROUND(1.05,2))</f>
        <v>9967.093499999999</v>
      </c>
      <c r="F61" s="161">
        <f>10916.32*(ROUND(1.05,2))</f>
        <v>11462.136</v>
      </c>
      <c r="G61" s="161">
        <f>10916.32*(ROUND(1.05,2))</f>
        <v>11462.136</v>
      </c>
      <c r="H61" s="161">
        <f t="shared" ref="H61:H66" si="3">0*(ROUND(1.05,2))</f>
        <v>0</v>
      </c>
      <c r="I61" s="161">
        <f t="shared" si="2"/>
        <v>0</v>
      </c>
      <c r="J61" s="166"/>
      <c r="K61" s="165"/>
    </row>
    <row r="62" spans="2:15" x14ac:dyDescent="0.25">
      <c r="B62" s="181"/>
      <c r="C62" s="152" t="s">
        <v>19</v>
      </c>
      <c r="D62" s="161">
        <f>9777.24*(ROUND(1.05,2))</f>
        <v>10266.102000000001</v>
      </c>
      <c r="E62" s="161">
        <f>9777.24*(ROUND(1.05,2))</f>
        <v>10266.102000000001</v>
      </c>
      <c r="F62" s="161">
        <f>11243.83*(ROUND(1.05,2))</f>
        <v>11806.021500000001</v>
      </c>
      <c r="G62" s="161">
        <f>11243.83*(ROUND(1.05,2))</f>
        <v>11806.021500000001</v>
      </c>
      <c r="H62" s="161">
        <f t="shared" si="3"/>
        <v>0</v>
      </c>
      <c r="I62" s="161">
        <f t="shared" si="2"/>
        <v>0</v>
      </c>
      <c r="J62" s="166"/>
      <c r="K62" s="165"/>
    </row>
    <row r="63" spans="2:15" x14ac:dyDescent="0.25">
      <c r="B63" s="181"/>
      <c r="C63" s="152" t="s">
        <v>20</v>
      </c>
      <c r="D63" s="161">
        <f>10070.55*(ROUND(1.05,2))</f>
        <v>10574.077499999999</v>
      </c>
      <c r="E63" s="161">
        <f>10070.55*(ROUND(1.05,2))</f>
        <v>10574.077499999999</v>
      </c>
      <c r="F63" s="161">
        <f>11581.14*(ROUND(1.05,2))</f>
        <v>12160.197</v>
      </c>
      <c r="G63" s="161">
        <f>11581.14*(ROUND(1.05,2))</f>
        <v>12160.197</v>
      </c>
      <c r="H63" s="161">
        <f t="shared" si="3"/>
        <v>0</v>
      </c>
      <c r="I63" s="161">
        <f t="shared" si="2"/>
        <v>0</v>
      </c>
      <c r="J63" s="166"/>
      <c r="K63" s="165"/>
    </row>
    <row r="64" spans="2:15" x14ac:dyDescent="0.25">
      <c r="B64" s="179" t="s">
        <v>21</v>
      </c>
      <c r="C64" s="152" t="s">
        <v>15</v>
      </c>
      <c r="D64" s="161">
        <f>10574.09*(ROUND(1.05,2))</f>
        <v>11102.7945</v>
      </c>
      <c r="E64" s="161">
        <f>10574.09*(ROUND(1.05,2))</f>
        <v>11102.7945</v>
      </c>
      <c r="F64" s="161">
        <f>12160.2*(ROUND(1.05,2))</f>
        <v>12768.210000000001</v>
      </c>
      <c r="G64" s="161">
        <f>12160.2*(ROUND(1.05,2))</f>
        <v>12768.210000000001</v>
      </c>
      <c r="H64" s="161">
        <f t="shared" si="3"/>
        <v>0</v>
      </c>
      <c r="I64" s="161">
        <f t="shared" si="2"/>
        <v>0</v>
      </c>
      <c r="J64" s="166"/>
      <c r="K64" s="165"/>
    </row>
    <row r="65" spans="2:11" x14ac:dyDescent="0.25">
      <c r="B65" s="179"/>
      <c r="C65" s="152" t="s">
        <v>16</v>
      </c>
      <c r="D65" s="161">
        <f>10891.32*(ROUND(1.05,2))</f>
        <v>11435.886</v>
      </c>
      <c r="E65" s="161">
        <f>10891.32*(ROUND(1.05,2))</f>
        <v>11435.886</v>
      </c>
      <c r="F65" s="161">
        <f>12525.01*(ROUND(1.05,2))</f>
        <v>13151.2605</v>
      </c>
      <c r="G65" s="161">
        <f>12525.01*(ROUND(1.05,2))</f>
        <v>13151.2605</v>
      </c>
      <c r="H65" s="161">
        <f t="shared" si="3"/>
        <v>0</v>
      </c>
      <c r="I65" s="161">
        <f t="shared" si="2"/>
        <v>0</v>
      </c>
      <c r="J65" s="166"/>
      <c r="K65" s="165"/>
    </row>
    <row r="66" spans="2:11" x14ac:dyDescent="0.25">
      <c r="B66" s="179"/>
      <c r="C66" s="160" t="s">
        <v>17</v>
      </c>
      <c r="D66" s="161">
        <f>11218.06*(ROUND(1.05,2))</f>
        <v>11778.963</v>
      </c>
      <c r="E66" s="161">
        <f>11218.06*(ROUND(1.05,2))</f>
        <v>11778.963</v>
      </c>
      <c r="F66" s="161">
        <f>12900.77*(ROUND(1.05,2))</f>
        <v>13545.808500000001</v>
      </c>
      <c r="G66" s="161">
        <f>12900.77*(ROUND(1.05,2))</f>
        <v>13545.808500000001</v>
      </c>
      <c r="H66" s="161">
        <f t="shared" si="3"/>
        <v>0</v>
      </c>
      <c r="I66" s="161">
        <f t="shared" si="2"/>
        <v>0</v>
      </c>
      <c r="J66" s="166"/>
      <c r="K66" s="165"/>
    </row>
    <row r="67" spans="2:11" x14ac:dyDescent="0.25">
      <c r="B67" s="179"/>
      <c r="C67" s="152" t="s">
        <v>18</v>
      </c>
      <c r="D67" s="161">
        <f>11554.6*(ROUND(1.05,2))</f>
        <v>12132.330000000002</v>
      </c>
      <c r="E67" s="161">
        <f>11554.6*(ROUND(1.05,2))</f>
        <v>12132.330000000002</v>
      </c>
      <c r="F67" s="161">
        <f>13287.79*(ROUND(1.05,2))</f>
        <v>13952.179500000002</v>
      </c>
      <c r="G67" s="161">
        <f>13287.79*(ROUND(1.05,2))</f>
        <v>13952.179500000002</v>
      </c>
      <c r="H67" s="161">
        <f>15280.95*(ROUND(1.05,2))</f>
        <v>16044.997500000001</v>
      </c>
      <c r="I67" s="161">
        <f>15280.95*(ROUND(1.05,2))</f>
        <v>16044.997500000001</v>
      </c>
      <c r="J67" s="166"/>
      <c r="K67" s="165"/>
    </row>
    <row r="68" spans="2:11" x14ac:dyDescent="0.25">
      <c r="B68" s="179"/>
      <c r="C68" s="152" t="s">
        <v>19</v>
      </c>
      <c r="D68" s="161">
        <f>11901.24*(ROUND(1.05,2))</f>
        <v>12496.302</v>
      </c>
      <c r="E68" s="161">
        <f>11901.24*(ROUND(1.05,2))</f>
        <v>12496.302</v>
      </c>
      <c r="F68" s="161">
        <f>13686.43*(ROUND(1.05,2))</f>
        <v>14370.7515</v>
      </c>
      <c r="G68" s="161">
        <f>13686.43*(ROUND(1.05,2))</f>
        <v>14370.7515</v>
      </c>
      <c r="H68" s="161">
        <f>15739.38*(ROUND(1.05,2))</f>
        <v>16526.348999999998</v>
      </c>
      <c r="I68" s="161">
        <f>15739.38*(ROUND(1.05,2))</f>
        <v>16526.348999999998</v>
      </c>
      <c r="J68" s="166"/>
      <c r="K68" s="165"/>
    </row>
    <row r="69" spans="2:11" x14ac:dyDescent="0.25">
      <c r="B69" s="179"/>
      <c r="C69" s="152" t="s">
        <v>20</v>
      </c>
      <c r="D69" s="161">
        <f>12258.27*(ROUND(1.05,2))</f>
        <v>12871.183500000001</v>
      </c>
      <c r="E69" s="161">
        <f>12258.27*(ROUND(1.05,2))</f>
        <v>12871.183500000001</v>
      </c>
      <c r="F69" s="161">
        <f>14097.02*(ROUND(1.05,2))</f>
        <v>14801.871000000001</v>
      </c>
      <c r="G69" s="161">
        <f>14097.02*(ROUND(1.05,2))</f>
        <v>14801.871000000001</v>
      </c>
      <c r="H69" s="161">
        <f>16211.57*(ROUND(1.05,2))</f>
        <v>17022.148499999999</v>
      </c>
      <c r="I69" s="161">
        <f>16211.57*(ROUND(1.05,2))</f>
        <v>17022.148499999999</v>
      </c>
      <c r="J69" s="166"/>
      <c r="K69" s="165"/>
    </row>
    <row r="70" spans="2:11" x14ac:dyDescent="0.25">
      <c r="B70" s="179" t="s">
        <v>22</v>
      </c>
      <c r="C70" s="152" t="s">
        <v>15</v>
      </c>
      <c r="D70" s="161">
        <f>12871.19*(ROUND(1.05,2))</f>
        <v>13514.749500000002</v>
      </c>
      <c r="E70" s="161">
        <f>12871.19*(ROUND(1.05,2))</f>
        <v>13514.749500000002</v>
      </c>
      <c r="F70" s="161">
        <f>14801.88*(ROUND(1.05,2))</f>
        <v>15541.974</v>
      </c>
      <c r="G70" s="161">
        <f>14801.88*(ROUND(1.05,2))</f>
        <v>15541.974</v>
      </c>
      <c r="H70" s="161">
        <f>17022.14*(ROUND(1.05,2))</f>
        <v>17873.246999999999</v>
      </c>
      <c r="I70" s="161">
        <f>17022.14*(ROUND(1.05,2))</f>
        <v>17873.246999999999</v>
      </c>
      <c r="J70" s="166"/>
      <c r="K70" s="165"/>
    </row>
    <row r="71" spans="2:11" x14ac:dyDescent="0.25">
      <c r="B71" s="179"/>
      <c r="C71" s="152" t="s">
        <v>16</v>
      </c>
      <c r="D71" s="161">
        <f>13257.32*(ROUND(1.05,2))</f>
        <v>13920.186</v>
      </c>
      <c r="E71" s="161">
        <f>13257.32*(ROUND(1.05,2))</f>
        <v>13920.186</v>
      </c>
      <c r="F71" s="161">
        <f>15245.93*(ROUND(1.05,2))</f>
        <v>16008.226500000001</v>
      </c>
      <c r="G71" s="161">
        <f>15245.93*(ROUND(1.05,2))</f>
        <v>16008.226500000001</v>
      </c>
      <c r="H71" s="161">
        <f>17532.81*(ROUND(1.05,2))</f>
        <v>18409.450500000003</v>
      </c>
      <c r="I71" s="161">
        <f>17532.81*(ROUND(1.05,2))</f>
        <v>18409.450500000003</v>
      </c>
      <c r="J71" s="166"/>
      <c r="K71" s="165"/>
    </row>
    <row r="72" spans="2:11" x14ac:dyDescent="0.25">
      <c r="B72" s="179"/>
      <c r="C72" s="152" t="s">
        <v>17</v>
      </c>
      <c r="D72" s="161">
        <f>13655.04*(ROUND(1.05,2))</f>
        <v>14337.792000000001</v>
      </c>
      <c r="E72" s="161">
        <f>13655.04*(ROUND(1.05,2))</f>
        <v>14337.792000000001</v>
      </c>
      <c r="F72" s="161">
        <f>15703.32*(ROUND(1.05,2))</f>
        <v>16488.486000000001</v>
      </c>
      <c r="G72" s="161">
        <f>15703.32*(ROUND(1.05,2))</f>
        <v>16488.486000000001</v>
      </c>
      <c r="H72" s="161">
        <f>18058.8*(ROUND(1.05,2))</f>
        <v>18961.740000000002</v>
      </c>
      <c r="I72" s="161">
        <f>18058.8*(ROUND(1.05,2))</f>
        <v>18961.740000000002</v>
      </c>
      <c r="J72" s="166"/>
      <c r="K72" s="165"/>
    </row>
    <row r="73" spans="2:11" x14ac:dyDescent="0.25">
      <c r="B73" s="179"/>
      <c r="C73" s="152" t="s">
        <v>18</v>
      </c>
      <c r="D73" s="161">
        <f>14064.7*(ROUND(1.05,2))</f>
        <v>14767.935000000001</v>
      </c>
      <c r="E73" s="161">
        <f>14064.7*(ROUND(1.05,2))</f>
        <v>14767.935000000001</v>
      </c>
      <c r="F73" s="161">
        <f>16174.41*(ROUND(1.05,2))</f>
        <v>16983.130499999999</v>
      </c>
      <c r="G73" s="161">
        <f>16174.41*(ROUND(1.05,2))</f>
        <v>16983.130499999999</v>
      </c>
      <c r="H73" s="161">
        <f>18600.57*(ROUND(1.05,2))</f>
        <v>19530.5985</v>
      </c>
      <c r="I73" s="161">
        <f>18600.57*(ROUND(1.05,2))</f>
        <v>19530.5985</v>
      </c>
      <c r="J73" s="166"/>
      <c r="K73" s="165"/>
    </row>
    <row r="74" spans="2:11" x14ac:dyDescent="0.25">
      <c r="B74" s="179"/>
      <c r="C74" s="152" t="s">
        <v>19</v>
      </c>
      <c r="D74" s="161">
        <f>14486.64*(ROUND(1.05,2))</f>
        <v>15210.972</v>
      </c>
      <c r="E74" s="161">
        <f>14486.64*(ROUND(1.05,2))</f>
        <v>15210.972</v>
      </c>
      <c r="F74" s="161">
        <f>16659.63*(ROUND(1.05,2))</f>
        <v>17492.611500000003</v>
      </c>
      <c r="G74" s="161">
        <f>16659.63*(ROUND(1.05,2))</f>
        <v>17492.611500000003</v>
      </c>
      <c r="H74" s="161">
        <f>19158.58*(ROUND(1.05,2))</f>
        <v>20116.509000000002</v>
      </c>
      <c r="I74" s="161">
        <f>19158.58*(ROUND(1.05,2))</f>
        <v>20116.509000000002</v>
      </c>
      <c r="J74" s="166"/>
      <c r="K74" s="165"/>
    </row>
    <row r="75" spans="2:11" x14ac:dyDescent="0.25">
      <c r="B75" s="179"/>
      <c r="C75" s="152" t="s">
        <v>20</v>
      </c>
      <c r="D75" s="161">
        <f>14921.24*(ROUND(1.05,2))</f>
        <v>15667.302</v>
      </c>
      <c r="E75" s="161">
        <f>14921.24*(ROUND(1.05,2))</f>
        <v>15667.302</v>
      </c>
      <c r="F75" s="161">
        <f>17159.42*(ROUND(1.05,2))</f>
        <v>18017.391</v>
      </c>
      <c r="G75" s="161">
        <f>17159.42*(ROUND(1.05,2))</f>
        <v>18017.391</v>
      </c>
      <c r="H75" s="161">
        <f>19733.32*(ROUND(1.05,2))</f>
        <v>20719.986000000001</v>
      </c>
      <c r="I75" s="161">
        <f>19733.32*(ROUND(1.05,2))</f>
        <v>20719.986000000001</v>
      </c>
      <c r="J75" s="166"/>
      <c r="K75" s="165"/>
    </row>
    <row r="77" spans="2:11" x14ac:dyDescent="0.25">
      <c r="B77" s="205" t="s">
        <v>26</v>
      </c>
      <c r="C77" s="205"/>
      <c r="D77" s="205"/>
      <c r="E77" s="205"/>
      <c r="F77" s="205"/>
      <c r="G77" s="205"/>
      <c r="H77" s="205"/>
      <c r="I77" s="205"/>
    </row>
    <row r="79" spans="2:11" x14ac:dyDescent="0.25">
      <c r="B79" s="204" t="s">
        <v>3</v>
      </c>
      <c r="C79" s="204"/>
      <c r="D79" s="204"/>
      <c r="E79" s="204"/>
      <c r="F79" s="204"/>
      <c r="G79" s="204"/>
    </row>
    <row r="80" spans="2:11" ht="45" customHeight="1" x14ac:dyDescent="0.25">
      <c r="B80" s="206" t="s">
        <v>4</v>
      </c>
      <c r="C80" s="207"/>
      <c r="D80" s="2" t="s">
        <v>5</v>
      </c>
      <c r="E80" s="2"/>
      <c r="F80" s="183" t="s">
        <v>6</v>
      </c>
      <c r="G80" s="183"/>
    </row>
    <row r="81" spans="2:7" ht="30" x14ac:dyDescent="0.25">
      <c r="B81" s="208"/>
      <c r="C81" s="209"/>
      <c r="D81" s="146" t="s">
        <v>27</v>
      </c>
      <c r="E81" s="147" t="s">
        <v>28</v>
      </c>
      <c r="F81" s="146" t="s">
        <v>27</v>
      </c>
      <c r="G81" s="147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1" t="s">
        <v>14</v>
      </c>
      <c r="C83" s="153" t="s">
        <v>15</v>
      </c>
      <c r="D83" s="161">
        <f>4878.32*(ROUND(1.05,2))</f>
        <v>5122.2359999999999</v>
      </c>
      <c r="E83" s="161">
        <f>4421.5*(ROUND(1.05,2))</f>
        <v>4642.5749999999998</v>
      </c>
      <c r="F83" s="161">
        <f t="shared" ref="F83:G85" si="4">0*(ROUND(1.05,2))</f>
        <v>0</v>
      </c>
      <c r="G83" s="161">
        <f t="shared" si="4"/>
        <v>0</v>
      </c>
    </row>
    <row r="84" spans="2:7" x14ac:dyDescent="0.25">
      <c r="B84" s="181"/>
      <c r="C84" s="63" t="s">
        <v>16</v>
      </c>
      <c r="D84" s="161">
        <f>5024.66*(ROUND(1.05,2))</f>
        <v>5275.893</v>
      </c>
      <c r="E84" s="161">
        <f>4554.14*(ROUND(1.05,2))</f>
        <v>4781.8470000000007</v>
      </c>
      <c r="F84" s="161">
        <f t="shared" si="4"/>
        <v>0</v>
      </c>
      <c r="G84" s="161">
        <f t="shared" si="4"/>
        <v>0</v>
      </c>
    </row>
    <row r="85" spans="2:7" x14ac:dyDescent="0.25">
      <c r="B85" s="181"/>
      <c r="C85" s="63" t="s">
        <v>17</v>
      </c>
      <c r="D85" s="161">
        <f>5175.4*(ROUND(1.05,2))</f>
        <v>5434.17</v>
      </c>
      <c r="E85" s="161">
        <f>4690.76*(ROUND(1.05,2))</f>
        <v>4925.2980000000007</v>
      </c>
      <c r="F85" s="161">
        <f t="shared" si="4"/>
        <v>0</v>
      </c>
      <c r="G85" s="161">
        <f t="shared" si="4"/>
        <v>0</v>
      </c>
    </row>
    <row r="86" spans="2:7" x14ac:dyDescent="0.25">
      <c r="B86" s="181"/>
      <c r="C86" s="63" t="s">
        <v>18</v>
      </c>
      <c r="D86" s="161">
        <f>5330.66*(ROUND(1.05,2))</f>
        <v>5597.1930000000002</v>
      </c>
      <c r="E86" s="161">
        <f>4831.49*(ROUND(1.05,2))</f>
        <v>5073.0645000000004</v>
      </c>
      <c r="F86" s="161">
        <f>6130.26*(ROUND(1.05,2))</f>
        <v>6436.7730000000001</v>
      </c>
      <c r="G86" s="161">
        <f>5556.2*(ROUND(1.05,2))</f>
        <v>5834.01</v>
      </c>
    </row>
    <row r="87" spans="2:7" x14ac:dyDescent="0.25">
      <c r="B87" s="181"/>
      <c r="C87" s="63" t="s">
        <v>19</v>
      </c>
      <c r="D87" s="161">
        <f>5490.58*(ROUND(1.05,2))</f>
        <v>5765.1090000000004</v>
      </c>
      <c r="E87" s="161">
        <f>4976.43*(ROUND(1.05,2))</f>
        <v>5225.2515000000003</v>
      </c>
      <c r="F87" s="161">
        <f>6314.16*(ROUND(1.05,2))</f>
        <v>6629.8680000000004</v>
      </c>
      <c r="G87" s="161">
        <f>5722.89*(ROUND(1.05,2))</f>
        <v>6009.0345000000007</v>
      </c>
    </row>
    <row r="88" spans="2:7" x14ac:dyDescent="0.25">
      <c r="B88" s="181"/>
      <c r="C88" s="63" t="s">
        <v>20</v>
      </c>
      <c r="D88" s="161">
        <f>5655.3*(ROUND(1.05,2))</f>
        <v>5938.0650000000005</v>
      </c>
      <c r="E88" s="161">
        <f>5125.73*(ROUND(1.05,2))</f>
        <v>5382.0164999999997</v>
      </c>
      <c r="F88" s="161">
        <f>6503.59*(ROUND(1.05,2))</f>
        <v>6828.7695000000003</v>
      </c>
      <c r="G88" s="161">
        <f>5894.58*(ROUND(1.05,2))</f>
        <v>6189.3090000000002</v>
      </c>
    </row>
    <row r="89" spans="2:7" x14ac:dyDescent="0.25">
      <c r="B89" s="179" t="s">
        <v>21</v>
      </c>
      <c r="C89" s="63" t="s">
        <v>15</v>
      </c>
      <c r="D89" s="161">
        <f>5938.05*(ROUND(1.05,2))</f>
        <v>6234.9525000000003</v>
      </c>
      <c r="E89" s="161">
        <f>5382.01*(ROUND(1.05,2))</f>
        <v>5651.1105000000007</v>
      </c>
      <c r="F89" s="161">
        <f>6828.77*(ROUND(1.05,2))</f>
        <v>7170.2085000000006</v>
      </c>
      <c r="G89" s="161">
        <f>6189.31*(ROUND(1.05,2))</f>
        <v>6498.7755000000006</v>
      </c>
    </row>
    <row r="90" spans="2:7" x14ac:dyDescent="0.25">
      <c r="B90" s="179"/>
      <c r="C90" s="63" t="s">
        <v>16</v>
      </c>
      <c r="D90" s="161">
        <f>6116.2*(ROUND(1.05,2))</f>
        <v>6422.01</v>
      </c>
      <c r="E90" s="161">
        <f>5543.47*(ROUND(1.05,2))</f>
        <v>5820.6435000000001</v>
      </c>
      <c r="F90" s="161">
        <f>7033.63*(ROUND(1.05,2))</f>
        <v>7385.3115000000007</v>
      </c>
      <c r="G90" s="161">
        <f>6374.99*(ROUND(1.05,2))</f>
        <v>6693.7394999999997</v>
      </c>
    </row>
    <row r="91" spans="2:7" x14ac:dyDescent="0.25">
      <c r="B91" s="179"/>
      <c r="C91" s="63" t="s">
        <v>17</v>
      </c>
      <c r="D91" s="161">
        <f>6299.69*(ROUND(1.05,2))</f>
        <v>6614.6745000000001</v>
      </c>
      <c r="E91" s="161">
        <f>5709.78*(ROUND(1.05,2))</f>
        <v>5995.2690000000002</v>
      </c>
      <c r="F91" s="161">
        <f>7244.65*(ROUND(1.05,2))</f>
        <v>7606.8824999999997</v>
      </c>
      <c r="G91" s="161">
        <f>6566.24*(ROUND(1.05,2))</f>
        <v>6894.5519999999997</v>
      </c>
    </row>
    <row r="92" spans="2:7" x14ac:dyDescent="0.25">
      <c r="B92" s="179"/>
      <c r="C92" s="2" t="s">
        <v>18</v>
      </c>
      <c r="D92" s="161">
        <f>6488.69*(ROUND(1.05,2))</f>
        <v>6813.1244999999999</v>
      </c>
      <c r="E92" s="161">
        <f>5881.07*(ROUND(1.05,2))</f>
        <v>6175.1234999999997</v>
      </c>
      <c r="F92" s="161">
        <f>7461.98*(ROUND(1.05,2))</f>
        <v>7835.0789999999997</v>
      </c>
      <c r="G92" s="161">
        <f>6763.23*(ROUND(1.05,2))</f>
        <v>7101.3914999999997</v>
      </c>
    </row>
    <row r="93" spans="2:7" x14ac:dyDescent="0.25">
      <c r="B93" s="179"/>
      <c r="C93" s="2" t="s">
        <v>19</v>
      </c>
      <c r="D93" s="161">
        <f>6683.35*(ROUND(1.05,2))</f>
        <v>7017.5175000000008</v>
      </c>
      <c r="E93" s="161">
        <f>6057.5*(ROUND(1.05,2))</f>
        <v>6360.375</v>
      </c>
      <c r="F93" s="161">
        <f>7685.85*(ROUND(1.05,2))</f>
        <v>8070.1425000000008</v>
      </c>
      <c r="G93" s="161">
        <f>6966.12*(ROUND(1.05,2))</f>
        <v>7314.4260000000004</v>
      </c>
    </row>
    <row r="94" spans="2:7" x14ac:dyDescent="0.25">
      <c r="B94" s="179"/>
      <c r="C94" s="2" t="s">
        <v>20</v>
      </c>
      <c r="D94" s="161">
        <f>6883.84*(ROUND(1.05,2))</f>
        <v>7228.0320000000002</v>
      </c>
      <c r="E94" s="161">
        <f>6239.22*(ROUND(1.05,2))</f>
        <v>6551.1810000000005</v>
      </c>
      <c r="F94" s="161">
        <f>7916.42*(ROUND(1.05,2))</f>
        <v>8312.241</v>
      </c>
      <c r="G94" s="161">
        <f>7175.11*(ROUND(1.05,2))</f>
        <v>7533.8654999999999</v>
      </c>
    </row>
    <row r="95" spans="2:7" x14ac:dyDescent="0.25">
      <c r="B95" s="179" t="s">
        <v>22</v>
      </c>
      <c r="C95" s="2" t="s">
        <v>15</v>
      </c>
      <c r="D95" s="161">
        <f>7228.03*(ROUND(1.05,2))</f>
        <v>7589.4314999999997</v>
      </c>
      <c r="E95" s="161">
        <f>6551.18*(ROUND(1.05,2))</f>
        <v>6878.7390000000005</v>
      </c>
      <c r="F95" s="161">
        <f>8312.24*(ROUND(1.05,2))</f>
        <v>8727.8520000000008</v>
      </c>
      <c r="G95" s="161">
        <f>7533.86*(ROUND(1.05,2))</f>
        <v>7910.5529999999999</v>
      </c>
    </row>
    <row r="96" spans="2:7" x14ac:dyDescent="0.25">
      <c r="B96" s="179"/>
      <c r="C96" s="2" t="s">
        <v>16</v>
      </c>
      <c r="D96" s="161">
        <f>7444.87*(ROUND(1.05,2))</f>
        <v>7817.1135000000004</v>
      </c>
      <c r="E96" s="161">
        <f>6747.73*(ROUND(1.05,2))</f>
        <v>7085.1165000000001</v>
      </c>
      <c r="F96" s="161">
        <f>8561.61*(ROUND(1.05,2))</f>
        <v>8989.6905000000006</v>
      </c>
      <c r="G96" s="161">
        <f>7759.9*(ROUND(1.05,2))</f>
        <v>8147.8949999999995</v>
      </c>
    </row>
    <row r="97" spans="2:7" x14ac:dyDescent="0.25">
      <c r="B97" s="179"/>
      <c r="C97" s="2" t="s">
        <v>17</v>
      </c>
      <c r="D97" s="161">
        <f>7668.22*(ROUND(1.05,2))</f>
        <v>8051.6310000000003</v>
      </c>
      <c r="E97" s="161">
        <f>6950.17*(ROUND(1.05,2))</f>
        <v>7297.6785</v>
      </c>
      <c r="F97" s="161">
        <f>8818.45*(ROUND(1.05,2))</f>
        <v>9259.3725000000013</v>
      </c>
      <c r="G97" s="161">
        <f>7992.68*(ROUND(1.05,2))</f>
        <v>8392.3140000000003</v>
      </c>
    </row>
    <row r="98" spans="2:7" x14ac:dyDescent="0.25">
      <c r="B98" s="179"/>
      <c r="C98" s="2" t="s">
        <v>18</v>
      </c>
      <c r="D98" s="161">
        <f>7898.27*(ROUND(1.05,2))</f>
        <v>8293.183500000001</v>
      </c>
      <c r="E98" s="161">
        <f>7158.68*(ROUND(1.05,2))</f>
        <v>7516.6140000000005</v>
      </c>
      <c r="F98" s="161">
        <f>9083.01*(ROUND(1.05,2))</f>
        <v>9537.1605</v>
      </c>
      <c r="G98" s="161">
        <f>8232.47*(ROUND(1.05,2))</f>
        <v>8644.093499999999</v>
      </c>
    </row>
    <row r="99" spans="2:7" x14ac:dyDescent="0.25">
      <c r="B99" s="179"/>
      <c r="C99" s="2" t="s">
        <v>19</v>
      </c>
      <c r="D99" s="161">
        <f>8135.22*(ROUND(1.05,2))</f>
        <v>8541.9809999999998</v>
      </c>
      <c r="E99" s="161">
        <f>7373.43*(ROUND(1.05,2))</f>
        <v>7742.1015000000007</v>
      </c>
      <c r="F99" s="161">
        <f>9355.5*(ROUND(1.05,2))</f>
        <v>9823.2749999999996</v>
      </c>
      <c r="G99" s="161">
        <f>8479.45*(ROUND(1.05,2))</f>
        <v>8903.4225000000006</v>
      </c>
    </row>
    <row r="100" spans="2:7" x14ac:dyDescent="0.25">
      <c r="B100" s="179"/>
      <c r="C100" s="2" t="s">
        <v>20</v>
      </c>
      <c r="D100" s="161">
        <f>8379.27*(ROUND(1.05,2))</f>
        <v>8798.2335000000003</v>
      </c>
      <c r="E100" s="161">
        <f>7594.63*(ROUND(1.05,2))</f>
        <v>7974.3615000000009</v>
      </c>
      <c r="F100" s="161">
        <f>9636.17*(ROUND(1.05,2))</f>
        <v>10117.978500000001</v>
      </c>
      <c r="G100" s="161">
        <f>8733.83*(ROUND(1.05,2))</f>
        <v>9170.5215000000007</v>
      </c>
    </row>
    <row r="103" spans="2:7" ht="26.25" customHeight="1" x14ac:dyDescent="0.25">
      <c r="B103" s="203" t="s">
        <v>648</v>
      </c>
      <c r="C103" s="203"/>
      <c r="D103" s="203"/>
      <c r="E103" s="203"/>
      <c r="F103" s="203"/>
      <c r="G103" s="203"/>
    </row>
    <row r="105" spans="2:7" x14ac:dyDescent="0.25">
      <c r="B105" s="204" t="s">
        <v>3</v>
      </c>
      <c r="C105" s="204"/>
      <c r="D105" s="204"/>
      <c r="E105" s="204"/>
      <c r="F105" s="204"/>
    </row>
    <row r="106" spans="2:7" x14ac:dyDescent="0.25">
      <c r="B106" s="183" t="s">
        <v>4</v>
      </c>
      <c r="C106" s="183"/>
      <c r="D106" s="204" t="s">
        <v>5</v>
      </c>
      <c r="E106" s="204"/>
      <c r="F106" s="204"/>
    </row>
    <row r="107" spans="2:7" ht="30" x14ac:dyDescent="0.25">
      <c r="B107" s="183"/>
      <c r="C107" s="183"/>
      <c r="D107" s="148" t="s">
        <v>128</v>
      </c>
      <c r="E107" s="146" t="s">
        <v>32</v>
      </c>
      <c r="F107" s="148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1" t="s">
        <v>14</v>
      </c>
      <c r="C109" s="2" t="s">
        <v>15</v>
      </c>
      <c r="D109" s="161">
        <f>3324.51*(ROUND(1.05,2))</f>
        <v>3490.7355000000002</v>
      </c>
      <c r="E109" s="161">
        <f>2815.81*(ROUND(1.05,2))</f>
        <v>2956.6005</v>
      </c>
      <c r="F109" s="161">
        <f>2815.81*(ROUND(1.05,2))</f>
        <v>2956.6005</v>
      </c>
    </row>
    <row r="110" spans="2:7" x14ac:dyDescent="0.25">
      <c r="B110" s="181"/>
      <c r="C110" s="2" t="s">
        <v>16</v>
      </c>
      <c r="D110" s="161">
        <f>3424.24*(ROUND(1.05,2))</f>
        <v>3595.4519999999998</v>
      </c>
      <c r="E110" s="161">
        <f>2900.28*(ROUND(1.05,2))</f>
        <v>3045.2940000000003</v>
      </c>
      <c r="F110" s="161">
        <f>2900.28*(ROUND(1.05,2))</f>
        <v>3045.2940000000003</v>
      </c>
    </row>
    <row r="111" spans="2:7" x14ac:dyDescent="0.25">
      <c r="B111" s="181"/>
      <c r="C111" s="2" t="s">
        <v>17</v>
      </c>
      <c r="D111" s="161">
        <f>3526.97*(ROUND(1.05,2))</f>
        <v>3703.3184999999999</v>
      </c>
      <c r="E111" s="161">
        <f>2987.28*(ROUND(1.05,2))</f>
        <v>3136.6440000000002</v>
      </c>
      <c r="F111" s="161">
        <f>2987.28*(ROUND(1.05,2))</f>
        <v>3136.6440000000002</v>
      </c>
    </row>
    <row r="112" spans="2:7" x14ac:dyDescent="0.25">
      <c r="B112" s="181"/>
      <c r="C112" s="2" t="s">
        <v>18</v>
      </c>
      <c r="D112" s="161">
        <f>3632.78*(ROUND(1.05,2))</f>
        <v>3814.4190000000003</v>
      </c>
      <c r="E112" s="161">
        <f>3076.9*(ROUND(1.05,2))</f>
        <v>3230.7450000000003</v>
      </c>
      <c r="F112" s="161">
        <f>3076.9*(ROUND(1.05,2))</f>
        <v>3230.7450000000003</v>
      </c>
    </row>
    <row r="113" spans="2:6" x14ac:dyDescent="0.25">
      <c r="B113" s="181"/>
      <c r="C113" s="2" t="s">
        <v>19</v>
      </c>
      <c r="D113" s="161">
        <f>3741.77*(ROUND(1.05,2))</f>
        <v>3928.8585000000003</v>
      </c>
      <c r="E113" s="161">
        <f>3169.21*(ROUND(1.05,2))</f>
        <v>3327.6705000000002</v>
      </c>
      <c r="F113" s="161">
        <f>3169.21*(ROUND(1.05,2))</f>
        <v>3327.6705000000002</v>
      </c>
    </row>
    <row r="114" spans="2:6" x14ac:dyDescent="0.25">
      <c r="B114" s="181"/>
      <c r="C114" s="2" t="s">
        <v>20</v>
      </c>
      <c r="D114" s="161">
        <f>3854.01*(ROUND(1.05,2))</f>
        <v>4046.7105000000006</v>
      </c>
      <c r="E114" s="161">
        <f>3264.28*(ROUND(1.05,2))</f>
        <v>3427.4940000000001</v>
      </c>
      <c r="F114" s="161">
        <f>3264.28*(ROUND(1.05,2))</f>
        <v>3427.4940000000001</v>
      </c>
    </row>
    <row r="115" spans="2:6" x14ac:dyDescent="0.25">
      <c r="B115" s="179" t="s">
        <v>21</v>
      </c>
      <c r="C115" s="2" t="s">
        <v>15</v>
      </c>
      <c r="D115" s="161">
        <f>4046.72*(ROUND(1.05,2))</f>
        <v>4249.0559999999996</v>
      </c>
      <c r="E115" s="161">
        <f>3427.49*(ROUND(1.05,2))</f>
        <v>3598.8645000000001</v>
      </c>
      <c r="F115" s="161">
        <f>3427.49*(ROUND(1.05,2))</f>
        <v>3598.8645000000001</v>
      </c>
    </row>
    <row r="116" spans="2:6" x14ac:dyDescent="0.25">
      <c r="B116" s="179"/>
      <c r="C116" s="2" t="s">
        <v>16</v>
      </c>
      <c r="D116" s="161">
        <f>4168.12*(ROUND(1.05,2))</f>
        <v>4376.5259999999998</v>
      </c>
      <c r="E116" s="161">
        <f>3530.32*(ROUND(1.05,2))</f>
        <v>3706.8360000000002</v>
      </c>
      <c r="F116" s="161">
        <f>3530.32*(ROUND(1.05,2))</f>
        <v>3706.8360000000002</v>
      </c>
    </row>
    <row r="117" spans="2:6" x14ac:dyDescent="0.25">
      <c r="B117" s="179"/>
      <c r="C117" s="2" t="s">
        <v>17</v>
      </c>
      <c r="D117" s="161">
        <f>4293.18*(ROUND(1.05,2))</f>
        <v>4507.8390000000009</v>
      </c>
      <c r="E117" s="161">
        <f>3636.21*(ROUND(1.05,2))</f>
        <v>3818.0205000000001</v>
      </c>
      <c r="F117" s="161">
        <f>3636.21*(ROUND(1.05,2))</f>
        <v>3818.0205000000001</v>
      </c>
    </row>
    <row r="118" spans="2:6" x14ac:dyDescent="0.25">
      <c r="B118" s="179"/>
      <c r="C118" s="2" t="s">
        <v>18</v>
      </c>
      <c r="D118" s="161">
        <f>4421.97*(ROUND(1.05,2))</f>
        <v>4643.0685000000003</v>
      </c>
      <c r="E118" s="161">
        <f>3745.3*(ROUND(1.05,2))</f>
        <v>3932.5650000000005</v>
      </c>
      <c r="F118" s="161">
        <f>3745.3*(ROUND(1.05,2))</f>
        <v>3932.5650000000005</v>
      </c>
    </row>
    <row r="119" spans="2:6" x14ac:dyDescent="0.25">
      <c r="B119" s="179"/>
      <c r="C119" s="2" t="s">
        <v>19</v>
      </c>
      <c r="D119" s="161">
        <f>4554.64*(ROUND(1.05,2))</f>
        <v>4782.3720000000003</v>
      </c>
      <c r="E119" s="161">
        <f>3857.66*(ROUND(1.05,2))</f>
        <v>4050.5430000000001</v>
      </c>
      <c r="F119" s="161">
        <f>3857.66*(ROUND(1.05,2))</f>
        <v>4050.5430000000001</v>
      </c>
    </row>
    <row r="120" spans="2:6" x14ac:dyDescent="0.25">
      <c r="B120" s="179"/>
      <c r="C120" s="2" t="s">
        <v>20</v>
      </c>
      <c r="D120" s="161">
        <f>4691.28*(ROUND(1.05,2))</f>
        <v>4925.8440000000001</v>
      </c>
      <c r="E120" s="161">
        <f>3973.39*(ROUND(1.05,2))</f>
        <v>4172.0595000000003</v>
      </c>
      <c r="F120" s="161">
        <f>3973.39*(ROUND(1.05,2))</f>
        <v>4172.0595000000003</v>
      </c>
    </row>
    <row r="121" spans="2:6" x14ac:dyDescent="0.25">
      <c r="B121" s="179" t="s">
        <v>22</v>
      </c>
      <c r="C121" s="2" t="s">
        <v>15</v>
      </c>
      <c r="D121" s="161">
        <f>4925.83*(ROUND(1.05,2))</f>
        <v>5172.1215000000002</v>
      </c>
      <c r="E121" s="161">
        <f>4172.07*(ROUND(1.05,2))</f>
        <v>4380.6734999999999</v>
      </c>
      <c r="F121" s="161">
        <f>4172.07*(ROUND(1.05,2))</f>
        <v>4380.6734999999999</v>
      </c>
    </row>
    <row r="122" spans="2:6" x14ac:dyDescent="0.25">
      <c r="B122" s="179"/>
      <c r="C122" s="2" t="s">
        <v>16</v>
      </c>
      <c r="D122" s="161">
        <f>5073.61*(ROUND(1.05,2))</f>
        <v>5327.2905000000001</v>
      </c>
      <c r="E122" s="161">
        <f>4297.22*(ROUND(1.05,2))</f>
        <v>4512.0810000000001</v>
      </c>
      <c r="F122" s="161">
        <f>4297.22*(ROUND(1.05,2))</f>
        <v>4512.0810000000001</v>
      </c>
    </row>
    <row r="123" spans="2:6" x14ac:dyDescent="0.25">
      <c r="B123" s="179"/>
      <c r="C123" s="2" t="s">
        <v>17</v>
      </c>
      <c r="D123" s="161">
        <f>5225.82*(ROUND(1.05,2))</f>
        <v>5487.1109999999999</v>
      </c>
      <c r="E123" s="161">
        <f>4426.14*(ROUND(1.05,2))</f>
        <v>4647.4470000000001</v>
      </c>
      <c r="F123" s="161">
        <f>4426.14*(ROUND(1.05,2))</f>
        <v>4647.4470000000001</v>
      </c>
    </row>
    <row r="124" spans="2:6" x14ac:dyDescent="0.25">
      <c r="B124" s="179"/>
      <c r="C124" s="2" t="s">
        <v>18</v>
      </c>
      <c r="D124" s="161">
        <f>5382.59*(ROUND(1.05,2))</f>
        <v>5651.7195000000002</v>
      </c>
      <c r="E124" s="161">
        <f>4558.92*(ROUND(1.05,2))</f>
        <v>4786.866</v>
      </c>
      <c r="F124" s="161">
        <f>4558.92*(ROUND(1.05,2))</f>
        <v>4786.866</v>
      </c>
    </row>
    <row r="125" spans="2:6" x14ac:dyDescent="0.25">
      <c r="B125" s="179"/>
      <c r="C125" s="2" t="s">
        <v>19</v>
      </c>
      <c r="D125" s="161">
        <f>5544.09*(ROUND(1.05,2))</f>
        <v>5821.2945</v>
      </c>
      <c r="E125" s="161">
        <f>4695.7*(ROUND(1.05,2))</f>
        <v>4930.4849999999997</v>
      </c>
      <c r="F125" s="161">
        <f>4695.7*(ROUND(1.05,2))</f>
        <v>4930.4849999999997</v>
      </c>
    </row>
    <row r="126" spans="2:6" x14ac:dyDescent="0.25">
      <c r="B126" s="179"/>
      <c r="C126" s="2" t="s">
        <v>20</v>
      </c>
      <c r="D126" s="161">
        <f>5710.4*(ROUND(1.05,2))</f>
        <v>5995.92</v>
      </c>
      <c r="E126" s="161">
        <f>4836.58*(ROUND(1.05,2))</f>
        <v>5078.4090000000006</v>
      </c>
      <c r="F126" s="161">
        <f>4836.58*(ROUND(1.05,2))</f>
        <v>5078.4090000000006</v>
      </c>
    </row>
    <row r="130" spans="2:19" ht="31.5" customHeight="1" x14ac:dyDescent="0.25">
      <c r="B130" s="202" t="s">
        <v>634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</row>
    <row r="132" spans="2:19" x14ac:dyDescent="0.25">
      <c r="B132" s="114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83" t="s">
        <v>125</v>
      </c>
      <c r="C134" s="183"/>
      <c r="D134" s="183" t="s">
        <v>630</v>
      </c>
      <c r="E134" s="183"/>
      <c r="F134" s="183"/>
      <c r="G134" s="183"/>
      <c r="H134" s="183" t="s">
        <v>631</v>
      </c>
      <c r="I134" s="179"/>
      <c r="J134" s="179"/>
      <c r="K134" s="179" t="s">
        <v>632</v>
      </c>
      <c r="L134" s="179"/>
      <c r="M134" s="179"/>
      <c r="N134" s="179"/>
    </row>
    <row r="135" spans="2:19" ht="90" customHeight="1" x14ac:dyDescent="0.25">
      <c r="B135" s="195" t="s">
        <v>50</v>
      </c>
      <c r="C135" s="195"/>
      <c r="D135" s="195" t="s">
        <v>51</v>
      </c>
      <c r="E135" s="195"/>
      <c r="F135" s="195"/>
      <c r="G135" s="195"/>
      <c r="H135" s="195" t="s">
        <v>52</v>
      </c>
      <c r="I135" s="195"/>
      <c r="J135" s="195"/>
      <c r="K135" s="195" t="s">
        <v>53</v>
      </c>
      <c r="L135" s="195"/>
      <c r="M135" s="195"/>
      <c r="N135" s="195"/>
      <c r="O135" s="22" t="s">
        <v>130</v>
      </c>
      <c r="P135" s="22" t="s">
        <v>131</v>
      </c>
      <c r="Q135" s="21" t="s">
        <v>132</v>
      </c>
      <c r="R135" s="107">
        <v>37589.96</v>
      </c>
      <c r="S135" s="55" t="s">
        <v>604</v>
      </c>
    </row>
    <row r="136" spans="2:19" ht="183" customHeight="1" x14ac:dyDescent="0.25">
      <c r="B136" s="195" t="s">
        <v>665</v>
      </c>
      <c r="C136" s="195"/>
      <c r="D136" s="195" t="s">
        <v>658</v>
      </c>
      <c r="E136" s="195"/>
      <c r="F136" s="195"/>
      <c r="G136" s="195"/>
      <c r="H136" s="199" t="s">
        <v>999</v>
      </c>
      <c r="I136" s="199"/>
      <c r="J136" s="199"/>
      <c r="K136" s="199" t="s">
        <v>996</v>
      </c>
      <c r="L136" s="199"/>
      <c r="M136" s="199"/>
      <c r="N136" s="199"/>
    </row>
    <row r="137" spans="2:19" ht="121.5" customHeight="1" x14ac:dyDescent="0.25">
      <c r="B137" s="195" t="s">
        <v>666</v>
      </c>
      <c r="C137" s="195"/>
      <c r="D137" s="195" t="s">
        <v>659</v>
      </c>
      <c r="E137" s="195"/>
      <c r="F137" s="195"/>
      <c r="G137" s="195"/>
      <c r="H137" s="200">
        <v>3100</v>
      </c>
      <c r="I137" s="201"/>
      <c r="J137" s="201"/>
      <c r="K137" s="199" t="s">
        <v>998</v>
      </c>
      <c r="L137" s="199"/>
      <c r="M137" s="199"/>
      <c r="N137" s="199"/>
    </row>
    <row r="138" spans="2:19" ht="162" customHeight="1" x14ac:dyDescent="0.25">
      <c r="B138" s="195" t="s">
        <v>667</v>
      </c>
      <c r="C138" s="195"/>
      <c r="D138" s="195" t="s">
        <v>660</v>
      </c>
      <c r="E138" s="195"/>
      <c r="F138" s="195"/>
      <c r="G138" s="195"/>
      <c r="H138" s="200">
        <v>28.88</v>
      </c>
      <c r="I138" s="201"/>
      <c r="J138" s="201"/>
      <c r="K138" s="199" t="s">
        <v>996</v>
      </c>
      <c r="L138" s="199"/>
      <c r="M138" s="199"/>
      <c r="N138" s="199"/>
    </row>
    <row r="139" spans="2:19" ht="90" customHeight="1" x14ac:dyDescent="0.25">
      <c r="B139" s="195" t="s">
        <v>656</v>
      </c>
      <c r="C139" s="195"/>
      <c r="D139" s="195" t="s">
        <v>66</v>
      </c>
      <c r="E139" s="195"/>
      <c r="F139" s="195"/>
      <c r="G139" s="195"/>
      <c r="H139" s="199" t="s">
        <v>67</v>
      </c>
      <c r="I139" s="199"/>
      <c r="J139" s="199"/>
      <c r="K139" s="199" t="s">
        <v>652</v>
      </c>
      <c r="L139" s="199"/>
      <c r="M139" s="199"/>
      <c r="N139" s="199"/>
    </row>
    <row r="140" spans="2:19" ht="90" customHeight="1" x14ac:dyDescent="0.25">
      <c r="B140" s="195" t="s">
        <v>69</v>
      </c>
      <c r="C140" s="195"/>
      <c r="D140" s="195" t="s">
        <v>70</v>
      </c>
      <c r="E140" s="195"/>
      <c r="F140" s="195"/>
      <c r="G140" s="195"/>
      <c r="H140" s="199" t="s">
        <v>67</v>
      </c>
      <c r="I140" s="199"/>
      <c r="J140" s="199"/>
      <c r="K140" s="199" t="s">
        <v>653</v>
      </c>
      <c r="L140" s="199"/>
      <c r="M140" s="199"/>
      <c r="N140" s="199"/>
    </row>
    <row r="141" spans="2:19" ht="90" customHeight="1" x14ac:dyDescent="0.25">
      <c r="B141" s="195" t="s">
        <v>71</v>
      </c>
      <c r="C141" s="195"/>
      <c r="D141" s="195" t="s">
        <v>72</v>
      </c>
      <c r="E141" s="195"/>
      <c r="F141" s="195"/>
      <c r="G141" s="195"/>
      <c r="H141" s="199" t="s">
        <v>1000</v>
      </c>
      <c r="I141" s="199"/>
      <c r="J141" s="199"/>
      <c r="K141" s="199" t="s">
        <v>74</v>
      </c>
      <c r="L141" s="199"/>
      <c r="M141" s="199"/>
      <c r="N141" s="199"/>
    </row>
    <row r="142" spans="2:19" ht="90" customHeight="1" x14ac:dyDescent="0.25">
      <c r="B142" s="195" t="s">
        <v>75</v>
      </c>
      <c r="C142" s="195"/>
      <c r="D142" s="195" t="s">
        <v>76</v>
      </c>
      <c r="E142" s="195"/>
      <c r="F142" s="195"/>
      <c r="G142" s="195"/>
      <c r="H142" s="199" t="s">
        <v>1000</v>
      </c>
      <c r="I142" s="199"/>
      <c r="J142" s="199"/>
      <c r="K142" s="199" t="s">
        <v>77</v>
      </c>
      <c r="L142" s="199"/>
      <c r="M142" s="199"/>
      <c r="N142" s="199"/>
    </row>
    <row r="143" spans="2:19" ht="90" customHeight="1" x14ac:dyDescent="0.25">
      <c r="B143" s="195" t="s">
        <v>78</v>
      </c>
      <c r="C143" s="195"/>
      <c r="D143" s="195" t="s">
        <v>79</v>
      </c>
      <c r="E143" s="195"/>
      <c r="F143" s="195"/>
      <c r="G143" s="195"/>
      <c r="H143" s="200">
        <v>1663.32</v>
      </c>
      <c r="I143" s="201"/>
      <c r="J143" s="201"/>
      <c r="K143" s="199" t="s">
        <v>1001</v>
      </c>
      <c r="L143" s="199"/>
      <c r="M143" s="199"/>
      <c r="N143" s="199"/>
      <c r="O143" s="54"/>
    </row>
    <row r="144" spans="2:19" ht="90" customHeight="1" x14ac:dyDescent="0.25">
      <c r="B144" s="195" t="s">
        <v>81</v>
      </c>
      <c r="C144" s="195"/>
      <c r="D144" s="195" t="s">
        <v>82</v>
      </c>
      <c r="E144" s="195"/>
      <c r="F144" s="195"/>
      <c r="G144" s="195"/>
      <c r="H144" s="200">
        <v>1663.32</v>
      </c>
      <c r="I144" s="201"/>
      <c r="J144" s="201"/>
      <c r="K144" s="199" t="s">
        <v>1001</v>
      </c>
      <c r="L144" s="199"/>
      <c r="M144" s="199"/>
      <c r="N144" s="199"/>
    </row>
    <row r="145" spans="2:14" ht="90" customHeight="1" x14ac:dyDescent="0.25">
      <c r="B145" s="195" t="s">
        <v>84</v>
      </c>
      <c r="C145" s="195"/>
      <c r="D145" s="195" t="s">
        <v>85</v>
      </c>
      <c r="E145" s="195"/>
      <c r="F145" s="195"/>
      <c r="G145" s="195"/>
      <c r="H145" s="199" t="s">
        <v>1002</v>
      </c>
      <c r="I145" s="199"/>
      <c r="J145" s="199"/>
      <c r="K145" s="199" t="s">
        <v>1001</v>
      </c>
      <c r="L145" s="199"/>
      <c r="M145" s="199"/>
      <c r="N145" s="199"/>
    </row>
    <row r="146" spans="2:14" ht="108" customHeight="1" x14ac:dyDescent="0.25">
      <c r="B146" s="195" t="s">
        <v>606</v>
      </c>
      <c r="C146" s="195"/>
      <c r="D146" s="195" t="s">
        <v>651</v>
      </c>
      <c r="E146" s="195"/>
      <c r="F146" s="195"/>
      <c r="G146" s="195"/>
      <c r="H146" s="199" t="s">
        <v>997</v>
      </c>
      <c r="I146" s="199"/>
      <c r="J146" s="199"/>
      <c r="K146" s="199" t="s">
        <v>998</v>
      </c>
      <c r="L146" s="199"/>
      <c r="M146" s="199"/>
      <c r="N146" s="199"/>
    </row>
    <row r="147" spans="2:14" ht="113.25" customHeight="1" x14ac:dyDescent="0.25">
      <c r="B147" s="195" t="s">
        <v>607</v>
      </c>
      <c r="C147" s="195"/>
      <c r="D147" s="195" t="s">
        <v>650</v>
      </c>
      <c r="E147" s="195"/>
      <c r="F147" s="195"/>
      <c r="G147" s="195"/>
      <c r="H147" s="196" t="s">
        <v>662</v>
      </c>
      <c r="I147" s="196"/>
      <c r="J147" s="196"/>
      <c r="K147" s="195" t="s">
        <v>996</v>
      </c>
      <c r="L147" s="195"/>
      <c r="M147" s="195"/>
      <c r="N147" s="195"/>
    </row>
    <row r="148" spans="2:14" ht="75.75" customHeight="1" x14ac:dyDescent="0.25">
      <c r="B148" s="195" t="s">
        <v>649</v>
      </c>
      <c r="C148" s="195"/>
      <c r="D148" s="195" t="s">
        <v>664</v>
      </c>
      <c r="E148" s="195"/>
      <c r="F148" s="195"/>
      <c r="G148" s="195"/>
      <c r="H148" s="197">
        <v>2197.02</v>
      </c>
      <c r="I148" s="198"/>
      <c r="J148" s="198"/>
      <c r="K148" s="195" t="s">
        <v>655</v>
      </c>
      <c r="L148" s="195"/>
      <c r="M148" s="195"/>
      <c r="N148" s="195"/>
    </row>
    <row r="153" spans="2:14" ht="21" x14ac:dyDescent="0.35">
      <c r="B153" s="178" t="s">
        <v>638</v>
      </c>
      <c r="C153" s="178"/>
      <c r="D153" s="178"/>
      <c r="E153" s="178"/>
      <c r="F153" s="178"/>
      <c r="G153" s="178"/>
      <c r="H153" s="178"/>
      <c r="I153" s="178"/>
    </row>
    <row r="155" spans="2:14" x14ac:dyDescent="0.25">
      <c r="B155" s="114" t="s">
        <v>635</v>
      </c>
    </row>
    <row r="157" spans="2:14" x14ac:dyDescent="0.25">
      <c r="B157" t="s">
        <v>637</v>
      </c>
    </row>
    <row r="159" spans="2:14" x14ac:dyDescent="0.25">
      <c r="B159" s="194" t="s">
        <v>643</v>
      </c>
      <c r="C159" s="194"/>
      <c r="D159" s="68" t="s">
        <v>994</v>
      </c>
      <c r="E159" s="68"/>
      <c r="F159" s="68"/>
      <c r="G159" s="69"/>
    </row>
    <row r="160" spans="2:14" x14ac:dyDescent="0.25">
      <c r="B160" s="194"/>
      <c r="C160" s="194"/>
      <c r="D160" s="115" t="s">
        <v>90</v>
      </c>
      <c r="E160" s="72" t="s">
        <v>91</v>
      </c>
      <c r="F160" s="72" t="s">
        <v>92</v>
      </c>
      <c r="G160" s="72" t="s">
        <v>93</v>
      </c>
    </row>
    <row r="161" spans="2:12" ht="18" customHeight="1" x14ac:dyDescent="0.25">
      <c r="B161" s="192" t="s">
        <v>94</v>
      </c>
      <c r="C161" s="192"/>
      <c r="D161" s="145">
        <f>ROUND(4569.57*1.05,2)+0.01</f>
        <v>4798.0600000000004</v>
      </c>
      <c r="E161" s="145">
        <f>456.96*(ROUND(1.05,2))</f>
        <v>479.80799999999999</v>
      </c>
      <c r="F161" s="145">
        <f>1370.87*(ROUND(1.05,2))+0.01</f>
        <v>1439.4234999999999</v>
      </c>
      <c r="G161" s="145">
        <f>2741.74*(ROUND(1.05,2))</f>
        <v>2878.8269999999998</v>
      </c>
      <c r="H161" s="167"/>
      <c r="I161" s="15"/>
      <c r="J161" s="15"/>
      <c r="K161" s="15"/>
      <c r="L161" s="56"/>
    </row>
    <row r="162" spans="2:12" ht="18" customHeight="1" x14ac:dyDescent="0.25">
      <c r="B162" s="192" t="s">
        <v>95</v>
      </c>
      <c r="C162" s="192"/>
      <c r="D162" s="145">
        <f>4400.48*(ROUND(1.05,2))</f>
        <v>4620.5039999999999</v>
      </c>
      <c r="E162" s="145">
        <f>440.05*(ROUND(1.05,2))</f>
        <v>462.05250000000001</v>
      </c>
      <c r="F162" s="145">
        <f>1320.14*(ROUND(1.05,2))</f>
        <v>1386.1470000000002</v>
      </c>
      <c r="G162" s="145">
        <f>2640.29*(ROUND(1.05,2))</f>
        <v>2772.3045000000002</v>
      </c>
      <c r="I162" s="15"/>
      <c r="J162" s="15"/>
      <c r="K162" s="15"/>
      <c r="L162" s="56"/>
    </row>
    <row r="163" spans="2:12" ht="18" customHeight="1" x14ac:dyDescent="0.25">
      <c r="B163" s="192" t="s">
        <v>96</v>
      </c>
      <c r="C163" s="192"/>
      <c r="D163" s="145">
        <f>2369.32*(ROUND(1.05,2))</f>
        <v>2487.7860000000001</v>
      </c>
      <c r="E163" s="145">
        <f>236.93*(ROUND(1.05,2))</f>
        <v>248.77650000000003</v>
      </c>
      <c r="F163" s="145">
        <f>710.8*(ROUND(1.05,2))</f>
        <v>746.34</v>
      </c>
      <c r="G163" s="145">
        <f>1421.59*(ROUND(1.05,2))</f>
        <v>1492.6695</v>
      </c>
      <c r="I163" s="15"/>
      <c r="J163" s="15"/>
      <c r="K163" s="15"/>
      <c r="L163" s="56"/>
    </row>
    <row r="164" spans="2:12" ht="18" customHeight="1" x14ac:dyDescent="0.25">
      <c r="B164" s="192" t="s">
        <v>97</v>
      </c>
      <c r="C164" s="192"/>
      <c r="D164" s="145">
        <f>3723.27*(ROUND(1.05,2))</f>
        <v>3909.4335000000001</v>
      </c>
      <c r="E164" s="145">
        <f>372.33*(ROUND(1.05,2))-0.01</f>
        <v>390.93650000000002</v>
      </c>
      <c r="F164" s="145">
        <f>1116.98*(ROUND(1.05,2))</f>
        <v>1172.8290000000002</v>
      </c>
      <c r="G164" s="145">
        <f>2233.96*(ROUND(1.05,2))</f>
        <v>2345.6580000000004</v>
      </c>
      <c r="I164" s="15"/>
      <c r="J164" s="15"/>
      <c r="K164" s="15"/>
      <c r="L164" s="56"/>
    </row>
    <row r="165" spans="2:12" ht="18" customHeight="1" x14ac:dyDescent="0.25">
      <c r="B165" s="192" t="s">
        <v>98</v>
      </c>
      <c r="C165" s="192"/>
      <c r="D165" s="145">
        <f>3554.2*(ROUND(1.05,2))</f>
        <v>3731.91</v>
      </c>
      <c r="E165" s="145">
        <f>355.42*(ROUND(1.05,2))</f>
        <v>373.19100000000003</v>
      </c>
      <c r="F165" s="145">
        <f>1066.26*(ROUND(1.05,2))</f>
        <v>1119.5730000000001</v>
      </c>
      <c r="G165" s="145">
        <f>2132.52*(ROUND(1.05,2))</f>
        <v>2239.1460000000002</v>
      </c>
      <c r="I165" s="15"/>
      <c r="J165" s="15"/>
      <c r="K165" s="15"/>
      <c r="L165" s="56"/>
    </row>
    <row r="166" spans="2:12" ht="18" customHeight="1" x14ac:dyDescent="0.25">
      <c r="B166" s="192" t="s">
        <v>99</v>
      </c>
      <c r="C166" s="192"/>
      <c r="D166" s="145">
        <f>3554.2*(ROUND(1.05,2))</f>
        <v>3731.91</v>
      </c>
      <c r="E166" s="145">
        <f>355.42*(ROUND(1.05,2))</f>
        <v>373.19100000000003</v>
      </c>
      <c r="F166" s="145">
        <f>1066.26*(ROUND(1.05,2))</f>
        <v>1119.5730000000001</v>
      </c>
      <c r="G166" s="145">
        <f>2132.52*(ROUND(1.05,2))</f>
        <v>2239.1460000000002</v>
      </c>
      <c r="I166" s="15"/>
      <c r="J166" s="15"/>
      <c r="K166" s="15"/>
      <c r="L166" s="56"/>
    </row>
    <row r="167" spans="2:12" ht="18" customHeight="1" x14ac:dyDescent="0.25">
      <c r="B167" s="192" t="s">
        <v>100</v>
      </c>
      <c r="C167" s="192"/>
      <c r="D167" s="145">
        <f>2369.32*(ROUND(1.05,2))</f>
        <v>2487.7860000000001</v>
      </c>
      <c r="E167" s="145">
        <f>236.93*(ROUND(1.05,2))</f>
        <v>248.77650000000003</v>
      </c>
      <c r="F167" s="145">
        <f>710.8*(ROUND(1.05,2))</f>
        <v>746.34</v>
      </c>
      <c r="G167" s="145">
        <f>1421.59*(ROUND(1.05,2))</f>
        <v>1492.6695</v>
      </c>
      <c r="H167" s="15"/>
      <c r="I167" s="15"/>
      <c r="J167" s="15"/>
      <c r="K167" s="15"/>
      <c r="L167" s="56"/>
    </row>
    <row r="168" spans="2:12" ht="18" customHeight="1" x14ac:dyDescent="0.25">
      <c r="B168" s="192" t="s">
        <v>668</v>
      </c>
      <c r="C168" s="192"/>
      <c r="D168" s="145">
        <f>1692.57*(ROUND(1.05,2))</f>
        <v>1777.1985</v>
      </c>
      <c r="E168" s="145">
        <f>169.26*(ROUND(1.05,2))</f>
        <v>177.72299999999998</v>
      </c>
      <c r="F168" s="145">
        <f>507.77*(ROUND(1.05,2))</f>
        <v>533.1585</v>
      </c>
      <c r="G168" s="145">
        <f>1015.54*(ROUND(1.05,2))</f>
        <v>1066.317</v>
      </c>
      <c r="I168" s="15"/>
      <c r="J168" s="15"/>
      <c r="K168" s="15"/>
      <c r="L168" s="56"/>
    </row>
    <row r="172" spans="2:12" x14ac:dyDescent="0.25">
      <c r="B172" t="s">
        <v>639</v>
      </c>
    </row>
    <row r="173" spans="2:12" x14ac:dyDescent="0.25">
      <c r="B173" t="s">
        <v>102</v>
      </c>
    </row>
    <row r="174" spans="2:12" x14ac:dyDescent="0.25">
      <c r="B174" s="75" t="s">
        <v>103</v>
      </c>
      <c r="C174" s="75" t="s">
        <v>104</v>
      </c>
      <c r="D174" s="75" t="s">
        <v>105</v>
      </c>
      <c r="E174" s="193" t="s">
        <v>106</v>
      </c>
      <c r="F174" s="193"/>
      <c r="G174" s="193"/>
    </row>
    <row r="175" spans="2:12" x14ac:dyDescent="0.25">
      <c r="B175" s="75"/>
      <c r="C175" s="75"/>
      <c r="D175" s="75"/>
      <c r="E175" s="153" t="s">
        <v>107</v>
      </c>
      <c r="F175" s="153" t="s">
        <v>108</v>
      </c>
      <c r="G175" s="75" t="s">
        <v>109</v>
      </c>
    </row>
    <row r="176" spans="2:12" ht="15" customHeight="1" x14ac:dyDescent="0.25">
      <c r="B176" s="180" t="s">
        <v>688</v>
      </c>
      <c r="C176" s="181" t="s">
        <v>14</v>
      </c>
      <c r="D176" s="77" t="s">
        <v>15</v>
      </c>
      <c r="E176" s="164">
        <f>362.1*(ROUND(1.05,2))</f>
        <v>380.20500000000004</v>
      </c>
      <c r="F176" s="164">
        <f>724.19*(ROUND(1.05,2))</f>
        <v>760.3995000000001</v>
      </c>
      <c r="G176" s="164">
        <f>1086.29*(ROUND(1.05,2))</f>
        <v>1140.6044999999999</v>
      </c>
    </row>
    <row r="177" spans="2:7" x14ac:dyDescent="0.25">
      <c r="B177" s="180"/>
      <c r="C177" s="181"/>
      <c r="D177" s="77" t="s">
        <v>16</v>
      </c>
      <c r="E177" s="164">
        <f>369.35*(ROUND(1.05,2))</f>
        <v>387.81750000000005</v>
      </c>
      <c r="F177" s="164">
        <f>738.67*(ROUND(1.05,2))</f>
        <v>775.60349999999994</v>
      </c>
      <c r="G177" s="164">
        <f>1108.02*(ROUND(1.05,2))</f>
        <v>1163.421</v>
      </c>
    </row>
    <row r="178" spans="2:7" x14ac:dyDescent="0.25">
      <c r="B178" s="180"/>
      <c r="C178" s="181"/>
      <c r="D178" s="77" t="s">
        <v>17</v>
      </c>
      <c r="E178" s="164">
        <f>376.73*(ROUND(1.05,2))</f>
        <v>395.56650000000002</v>
      </c>
      <c r="F178" s="164">
        <f>753.45*(ROUND(1.05,2))</f>
        <v>791.12250000000006</v>
      </c>
      <c r="G178" s="164">
        <f>1130.18*(ROUND(1.05,2))</f>
        <v>1186.6890000000001</v>
      </c>
    </row>
    <row r="179" spans="2:7" x14ac:dyDescent="0.25">
      <c r="B179" s="180"/>
      <c r="C179" s="181"/>
      <c r="D179" s="77" t="s">
        <v>18</v>
      </c>
      <c r="E179" s="164">
        <f>384.26*(ROUND(1.05,2))</f>
        <v>403.47300000000001</v>
      </c>
      <c r="F179" s="164">
        <f>768.52*(ROUND(1.05,2))</f>
        <v>806.94600000000003</v>
      </c>
      <c r="G179" s="164">
        <f>1152.78*(ROUND(1.05,2))</f>
        <v>1210.4190000000001</v>
      </c>
    </row>
    <row r="180" spans="2:7" x14ac:dyDescent="0.25">
      <c r="B180" s="180"/>
      <c r="C180" s="181"/>
      <c r="D180" s="77" t="s">
        <v>19</v>
      </c>
      <c r="E180" s="164">
        <f>391.95*(ROUND(1.05,2))</f>
        <v>411.54750000000001</v>
      </c>
      <c r="F180" s="164">
        <f>783.9*(ROUND(1.05,2))</f>
        <v>823.09500000000003</v>
      </c>
      <c r="G180" s="164">
        <f>1175.83*(ROUND(1.05,2))</f>
        <v>1234.6215</v>
      </c>
    </row>
    <row r="181" spans="2:7" x14ac:dyDescent="0.25">
      <c r="B181" s="180"/>
      <c r="C181" s="181"/>
      <c r="D181" s="77" t="s">
        <v>20</v>
      </c>
      <c r="E181" s="164">
        <f>399.77*(ROUND(1.05,2))</f>
        <v>419.75850000000003</v>
      </c>
      <c r="F181" s="164">
        <f>799.57*(ROUND(1.05,2))</f>
        <v>839.5485000000001</v>
      </c>
      <c r="G181" s="164">
        <f>1199.34*(ROUND(1.05,2))</f>
        <v>1259.307</v>
      </c>
    </row>
    <row r="182" spans="2:7" x14ac:dyDescent="0.25">
      <c r="B182" s="180"/>
      <c r="C182" s="181" t="s">
        <v>21</v>
      </c>
      <c r="D182" s="77" t="s">
        <v>15</v>
      </c>
      <c r="E182" s="164">
        <f>407.78*(ROUND(1.05,2))</f>
        <v>428.16899999999998</v>
      </c>
      <c r="F182" s="164">
        <f>815.57*(ROUND(1.05,2))</f>
        <v>856.34850000000006</v>
      </c>
      <c r="G182" s="164">
        <f>1223.34*(ROUND(1.05,2))</f>
        <v>1284.5070000000001</v>
      </c>
    </row>
    <row r="183" spans="2:7" x14ac:dyDescent="0.25">
      <c r="B183" s="180"/>
      <c r="C183" s="181"/>
      <c r="D183" s="77" t="s">
        <v>16</v>
      </c>
      <c r="E183" s="164">
        <f>415.94*(ROUND(1.05,2))</f>
        <v>436.73700000000002</v>
      </c>
      <c r="F183" s="164">
        <f>831.88*(ROUND(1.05,2))</f>
        <v>873.47400000000005</v>
      </c>
      <c r="G183" s="164">
        <f>1247.81*(ROUND(1.05,2))</f>
        <v>1310.2004999999999</v>
      </c>
    </row>
    <row r="184" spans="2:7" x14ac:dyDescent="0.25">
      <c r="B184" s="180"/>
      <c r="C184" s="181"/>
      <c r="D184" s="77" t="s">
        <v>17</v>
      </c>
      <c r="E184" s="164">
        <f>424.24*(ROUND(1.05,2))</f>
        <v>445.45200000000006</v>
      </c>
      <c r="F184" s="164">
        <f>848.52*(ROUND(1.05,2))</f>
        <v>890.94600000000003</v>
      </c>
      <c r="G184" s="164">
        <f>1272.77*(ROUND(1.05,2))</f>
        <v>1336.4085</v>
      </c>
    </row>
    <row r="185" spans="2:7" x14ac:dyDescent="0.25">
      <c r="B185" s="180"/>
      <c r="C185" s="181"/>
      <c r="D185" s="77" t="s">
        <v>18</v>
      </c>
      <c r="E185" s="164">
        <f>432.75*(ROUND(1.05,2))</f>
        <v>454.38750000000005</v>
      </c>
      <c r="F185" s="164">
        <f>865.48*(ROUND(1.05,2))</f>
        <v>908.75400000000002</v>
      </c>
      <c r="G185" s="164">
        <f>1298.22*(ROUND(1.05,2))</f>
        <v>1363.1310000000001</v>
      </c>
    </row>
    <row r="186" spans="2:7" x14ac:dyDescent="0.25">
      <c r="B186" s="180"/>
      <c r="C186" s="181"/>
      <c r="D186" s="77" t="s">
        <v>19</v>
      </c>
      <c r="E186" s="164">
        <f>441.4*(ROUND(1.05,2))</f>
        <v>463.46999999999997</v>
      </c>
      <c r="F186" s="164">
        <f>882.78*(ROUND(1.05,2))</f>
        <v>926.91899999999998</v>
      </c>
      <c r="G186" s="164">
        <f>1324.19*(ROUND(1.05,2))</f>
        <v>1390.3995000000002</v>
      </c>
    </row>
    <row r="187" spans="2:7" x14ac:dyDescent="0.25">
      <c r="B187" s="180"/>
      <c r="C187" s="181"/>
      <c r="D187" s="77" t="s">
        <v>20</v>
      </c>
      <c r="E187" s="164">
        <f>450.22*(ROUND(1.05,2))</f>
        <v>472.73100000000005</v>
      </c>
      <c r="F187" s="164">
        <f>900.44*(ROUND(1.05,2))</f>
        <v>945.4620000000001</v>
      </c>
      <c r="G187" s="164">
        <f>1350.67*(ROUND(1.05,2))</f>
        <v>1418.2035000000001</v>
      </c>
    </row>
    <row r="188" spans="2:7" x14ac:dyDescent="0.25">
      <c r="B188" s="180"/>
      <c r="C188" s="180" t="s">
        <v>112</v>
      </c>
      <c r="D188" s="77" t="s">
        <v>15</v>
      </c>
      <c r="E188" s="164">
        <f>459.22*(ROUND(1.05,2))</f>
        <v>482.18100000000004</v>
      </c>
      <c r="F188" s="164">
        <f>918.45*(ROUND(1.05,2))</f>
        <v>964.37250000000006</v>
      </c>
      <c r="G188" s="164">
        <f>1377.67*(ROUND(1.05,2))</f>
        <v>1446.5535000000002</v>
      </c>
    </row>
    <row r="189" spans="2:7" x14ac:dyDescent="0.25">
      <c r="B189" s="180"/>
      <c r="C189" s="180"/>
      <c r="D189" s="77" t="s">
        <v>16</v>
      </c>
      <c r="E189" s="164">
        <f>468.4*(ROUND(1.05,2))</f>
        <v>491.82</v>
      </c>
      <c r="F189" s="164">
        <f>936.82*(ROUND(1.05,2))</f>
        <v>983.66100000000006</v>
      </c>
      <c r="G189" s="164">
        <f>1405.22*(ROUND(1.05,2))</f>
        <v>1475.481</v>
      </c>
    </row>
    <row r="190" spans="2:7" x14ac:dyDescent="0.25">
      <c r="B190" s="180"/>
      <c r="C190" s="180"/>
      <c r="D190" s="77" t="s">
        <v>17</v>
      </c>
      <c r="E190" s="164">
        <f>477.78*(ROUND(1.05,2))</f>
        <v>501.66899999999998</v>
      </c>
      <c r="F190" s="164">
        <f>955.55*(ROUND(1.05,2))</f>
        <v>1003.3275</v>
      </c>
      <c r="G190" s="164">
        <f>1433.34*(ROUND(1.05,2))</f>
        <v>1505.0070000000001</v>
      </c>
    </row>
    <row r="191" spans="2:7" x14ac:dyDescent="0.25">
      <c r="B191" s="180"/>
      <c r="C191" s="180"/>
      <c r="D191" s="77" t="s">
        <v>18</v>
      </c>
      <c r="E191" s="164">
        <f>487.33*(ROUND(1.05,2))</f>
        <v>511.69650000000001</v>
      </c>
      <c r="F191" s="164">
        <f>974.67*(ROUND(1.05,2))</f>
        <v>1023.4035</v>
      </c>
      <c r="G191" s="164">
        <f>1462*(ROUND(1.05,2))</f>
        <v>1535.1000000000001</v>
      </c>
    </row>
    <row r="192" spans="2:7" x14ac:dyDescent="0.25">
      <c r="B192" s="180"/>
      <c r="C192" s="180"/>
      <c r="D192" s="77" t="s">
        <v>19</v>
      </c>
      <c r="E192" s="164">
        <f>497.07*(ROUND(1.05,2))</f>
        <v>521.92349999999999</v>
      </c>
      <c r="F192" s="164">
        <f>994.16*(ROUND(1.05,2))</f>
        <v>1043.8679999999999</v>
      </c>
      <c r="G192" s="164">
        <f>1491.24*(ROUND(1.05,2))</f>
        <v>1565.8020000000001</v>
      </c>
    </row>
    <row r="193" spans="2:8" x14ac:dyDescent="0.25">
      <c r="B193" s="180"/>
      <c r="C193" s="180"/>
      <c r="D193" s="77" t="s">
        <v>20</v>
      </c>
      <c r="E193" s="164">
        <f>507.02*(ROUND(1.05,2))</f>
        <v>532.37099999999998</v>
      </c>
      <c r="F193" s="164">
        <f>1014.04*(ROUND(1.05,2))</f>
        <v>1064.742</v>
      </c>
      <c r="G193" s="164">
        <f>1521.07*(ROUND(1.05,2))</f>
        <v>1597.1234999999999</v>
      </c>
    </row>
    <row r="194" spans="2:8" x14ac:dyDescent="0.25">
      <c r="B194" s="137"/>
      <c r="C194" s="138"/>
      <c r="D194" s="139"/>
      <c r="E194" s="140"/>
      <c r="F194" s="141"/>
      <c r="G194" s="142"/>
    </row>
    <row r="195" spans="2:8" x14ac:dyDescent="0.25">
      <c r="B195" s="137"/>
      <c r="C195" s="138"/>
      <c r="D195" s="139"/>
      <c r="E195" s="140"/>
      <c r="F195" s="141"/>
      <c r="G195" s="142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79" t="s">
        <v>114</v>
      </c>
      <c r="C199" s="179"/>
      <c r="D199" s="179"/>
      <c r="E199" s="179"/>
      <c r="F199" s="179"/>
      <c r="G199" s="179"/>
      <c r="H199" s="179"/>
    </row>
    <row r="200" spans="2:8" x14ac:dyDescent="0.25">
      <c r="B200" s="180" t="s">
        <v>115</v>
      </c>
      <c r="C200" s="181" t="s">
        <v>116</v>
      </c>
      <c r="D200" s="181" t="s">
        <v>117</v>
      </c>
      <c r="E200" s="182" t="s">
        <v>106</v>
      </c>
      <c r="F200" s="182"/>
      <c r="G200" s="182"/>
      <c r="H200" s="182"/>
    </row>
    <row r="201" spans="2:8" ht="30" x14ac:dyDescent="0.25">
      <c r="B201" s="180"/>
      <c r="C201" s="181"/>
      <c r="D201" s="181"/>
      <c r="E201" s="150" t="s">
        <v>118</v>
      </c>
      <c r="F201" s="150" t="s">
        <v>107</v>
      </c>
      <c r="G201" s="150" t="s">
        <v>108</v>
      </c>
      <c r="H201" s="150" t="s">
        <v>109</v>
      </c>
    </row>
    <row r="202" spans="2:8" x14ac:dyDescent="0.25">
      <c r="B202" s="180" t="s">
        <v>119</v>
      </c>
      <c r="C202" s="191" t="s">
        <v>14</v>
      </c>
      <c r="D202" s="149" t="s">
        <v>15</v>
      </c>
      <c r="E202" s="163">
        <f>192.31*(ROUND(1.05,2))</f>
        <v>201.9255</v>
      </c>
      <c r="F202" s="163">
        <f>192.31*(ROUND(1.05,2))</f>
        <v>201.9255</v>
      </c>
      <c r="G202" s="163">
        <f>384.62*(ROUND(1.05,2))</f>
        <v>403.851</v>
      </c>
      <c r="H202" s="163">
        <f>576.94*(ROUND(1.05,2))</f>
        <v>605.78700000000003</v>
      </c>
    </row>
    <row r="203" spans="2:8" x14ac:dyDescent="0.25">
      <c r="B203" s="180"/>
      <c r="C203" s="191"/>
      <c r="D203" s="149" t="s">
        <v>16</v>
      </c>
      <c r="E203" s="163">
        <f>196.16*(ROUND(1.05,2))</f>
        <v>205.96800000000002</v>
      </c>
      <c r="F203" s="163">
        <f>196.16*(ROUND(1.05,2))</f>
        <v>205.96800000000002</v>
      </c>
      <c r="G203" s="163">
        <f>392.33*(ROUND(1.05,2))</f>
        <v>411.94650000000001</v>
      </c>
      <c r="H203" s="163">
        <f>588.49*(ROUND(1.05,2))</f>
        <v>617.91450000000009</v>
      </c>
    </row>
    <row r="204" spans="2:8" x14ac:dyDescent="0.25">
      <c r="B204" s="180"/>
      <c r="C204" s="191"/>
      <c r="D204" s="149" t="s">
        <v>17</v>
      </c>
      <c r="E204" s="163">
        <f>200.1*(ROUND(1.05,2))</f>
        <v>210.10499999999999</v>
      </c>
      <c r="F204" s="163">
        <f>200.1*(ROUND(1.05,2))</f>
        <v>210.10499999999999</v>
      </c>
      <c r="G204" s="163">
        <f>400.17*(ROUND(1.05,2))</f>
        <v>420.17850000000004</v>
      </c>
      <c r="H204" s="163">
        <f>600.26*(ROUND(1.05,2))</f>
        <v>630.27300000000002</v>
      </c>
    </row>
    <row r="205" spans="2:8" x14ac:dyDescent="0.25">
      <c r="B205" s="180"/>
      <c r="C205" s="191"/>
      <c r="D205" s="149" t="s">
        <v>18</v>
      </c>
      <c r="E205" s="163">
        <f>204.08*(ROUND(1.05,2))</f>
        <v>214.28400000000002</v>
      </c>
      <c r="F205" s="163">
        <f>204.08*(ROUND(1.05,2))</f>
        <v>214.28400000000002</v>
      </c>
      <c r="G205" s="163">
        <f>408.16*(ROUND(1.05,2))</f>
        <v>428.56800000000004</v>
      </c>
      <c r="H205" s="163">
        <f>612.25*(ROUND(1.05,2))</f>
        <v>642.86250000000007</v>
      </c>
    </row>
    <row r="206" spans="2:8" x14ac:dyDescent="0.25">
      <c r="B206" s="180"/>
      <c r="C206" s="191"/>
      <c r="D206" s="149" t="s">
        <v>19</v>
      </c>
      <c r="E206" s="163">
        <f>208.16*(ROUND(1.05,2))</f>
        <v>218.56800000000001</v>
      </c>
      <c r="F206" s="163">
        <f>208.16*(ROUND(1.05,2))</f>
        <v>218.56800000000001</v>
      </c>
      <c r="G206" s="163">
        <f>416.34*(ROUND(1.05,2))</f>
        <v>437.15699999999998</v>
      </c>
      <c r="H206" s="163">
        <f>624.5*(ROUND(1.05,2))</f>
        <v>655.72500000000002</v>
      </c>
    </row>
    <row r="207" spans="2:8" x14ac:dyDescent="0.25">
      <c r="B207" s="180"/>
      <c r="C207" s="191"/>
      <c r="D207" s="149" t="s">
        <v>20</v>
      </c>
      <c r="E207" s="163">
        <f>212.34*(ROUND(1.05,2))</f>
        <v>222.95700000000002</v>
      </c>
      <c r="F207" s="163">
        <f>212.34*(ROUND(1.05,2))</f>
        <v>222.95700000000002</v>
      </c>
      <c r="G207" s="163">
        <f>424.66*(ROUND(1.05,2))</f>
        <v>445.89300000000003</v>
      </c>
      <c r="H207" s="163">
        <f>637*(ROUND(1.05,2))</f>
        <v>668.85</v>
      </c>
    </row>
    <row r="208" spans="2:8" x14ac:dyDescent="0.25">
      <c r="B208" s="180"/>
      <c r="C208" s="191" t="s">
        <v>21</v>
      </c>
      <c r="D208" s="149" t="s">
        <v>15</v>
      </c>
      <c r="E208" s="163">
        <f>216.57*(ROUND(1.05,2))</f>
        <v>227.39850000000001</v>
      </c>
      <c r="F208" s="163">
        <f>216.57*(ROUND(1.05,2))</f>
        <v>227.39850000000001</v>
      </c>
      <c r="G208" s="163">
        <f>433.15*(ROUND(1.05,2))</f>
        <v>454.8075</v>
      </c>
      <c r="H208" s="163">
        <f>649.72*(ROUND(1.05,2))</f>
        <v>682.20600000000002</v>
      </c>
    </row>
    <row r="209" spans="2:8" x14ac:dyDescent="0.25">
      <c r="B209" s="180"/>
      <c r="C209" s="191"/>
      <c r="D209" s="149" t="s">
        <v>16</v>
      </c>
      <c r="E209" s="163">
        <f>220.92*(ROUND(1.05,2))</f>
        <v>231.96600000000001</v>
      </c>
      <c r="F209" s="163">
        <f>220.92*(ROUND(1.05,2))</f>
        <v>231.96600000000001</v>
      </c>
      <c r="G209" s="163">
        <f>441.82*(ROUND(1.05,2))</f>
        <v>463.911</v>
      </c>
      <c r="H209" s="163">
        <f>662.74*(ROUND(1.05,2))</f>
        <v>695.87700000000007</v>
      </c>
    </row>
    <row r="210" spans="2:8" x14ac:dyDescent="0.25">
      <c r="B210" s="180"/>
      <c r="C210" s="191"/>
      <c r="D210" s="149" t="s">
        <v>17</v>
      </c>
      <c r="E210" s="163">
        <f>225.32*(ROUND(1.05,2))</f>
        <v>236.58600000000001</v>
      </c>
      <c r="F210" s="163">
        <f>225.32*(ROUND(1.05,2))</f>
        <v>236.58600000000001</v>
      </c>
      <c r="G210" s="163">
        <f>450.65*(ROUND(1.05,2))</f>
        <v>473.1825</v>
      </c>
      <c r="H210" s="163">
        <f>675.96*(ROUND(1.05,2))</f>
        <v>709.75800000000004</v>
      </c>
    </row>
    <row r="211" spans="2:8" x14ac:dyDescent="0.25">
      <c r="B211" s="180"/>
      <c r="C211" s="191"/>
      <c r="D211" s="149" t="s">
        <v>18</v>
      </c>
      <c r="E211" s="163">
        <f>229.84*(ROUND(1.05,2))</f>
        <v>241.33200000000002</v>
      </c>
      <c r="F211" s="163">
        <f>229.84*(ROUND(1.05,2))</f>
        <v>241.33200000000002</v>
      </c>
      <c r="G211" s="163">
        <f>459.66*(ROUND(1.05,2))</f>
        <v>482.64300000000003</v>
      </c>
      <c r="H211" s="163">
        <f>689.5*(ROUND(1.05,2))</f>
        <v>723.97500000000002</v>
      </c>
    </row>
    <row r="212" spans="2:8" x14ac:dyDescent="0.25">
      <c r="B212" s="180"/>
      <c r="C212" s="191"/>
      <c r="D212" s="149" t="s">
        <v>19</v>
      </c>
      <c r="E212" s="163">
        <f>234.43*(ROUND(1.05,2))</f>
        <v>246.15150000000003</v>
      </c>
      <c r="F212" s="163">
        <f>234.43*(ROUND(1.05,2))</f>
        <v>246.15150000000003</v>
      </c>
      <c r="G212" s="163">
        <f>468.85*(ROUND(1.05,2))</f>
        <v>492.29250000000002</v>
      </c>
      <c r="H212" s="163">
        <f>703.27*(ROUND(1.05,2))</f>
        <v>738.43349999999998</v>
      </c>
    </row>
    <row r="213" spans="2:8" x14ac:dyDescent="0.25">
      <c r="B213" s="180"/>
      <c r="C213" s="191"/>
      <c r="D213" s="149" t="s">
        <v>20</v>
      </c>
      <c r="E213" s="163">
        <f>239.12*(ROUND(1.05,2))</f>
        <v>251.07600000000002</v>
      </c>
      <c r="F213" s="163">
        <f>239.12*(ROUND(1.05,2))</f>
        <v>251.07600000000002</v>
      </c>
      <c r="G213" s="163">
        <f>478.23*(ROUND(1.05,2))</f>
        <v>502.14150000000006</v>
      </c>
      <c r="H213" s="163">
        <f>717.35*(ROUND(1.05,2))</f>
        <v>753.21750000000009</v>
      </c>
    </row>
    <row r="214" spans="2:8" x14ac:dyDescent="0.25">
      <c r="B214" s="180"/>
      <c r="C214" s="179" t="s">
        <v>112</v>
      </c>
      <c r="D214" s="149" t="s">
        <v>15</v>
      </c>
      <c r="E214" s="163">
        <f>243.89*(ROUND(1.05,2))</f>
        <v>256.08449999999999</v>
      </c>
      <c r="F214" s="163">
        <f>243.89*(ROUND(1.05,2))</f>
        <v>256.08449999999999</v>
      </c>
      <c r="G214" s="163">
        <f>487.79*(ROUND(1.05,2))</f>
        <v>512.17950000000008</v>
      </c>
      <c r="H214" s="163">
        <f>731.68*(ROUND(1.05,2))</f>
        <v>768.26400000000001</v>
      </c>
    </row>
    <row r="215" spans="2:8" x14ac:dyDescent="0.25">
      <c r="B215" s="180"/>
      <c r="C215" s="179"/>
      <c r="D215" s="149" t="s">
        <v>16</v>
      </c>
      <c r="E215" s="163">
        <f>248.79*(ROUND(1.05,2))</f>
        <v>261.22950000000003</v>
      </c>
      <c r="F215" s="163">
        <f>248.79*(ROUND(1.05,2))</f>
        <v>261.22950000000003</v>
      </c>
      <c r="G215" s="163">
        <f>497.55*(ROUND(1.05,2))</f>
        <v>522.42750000000001</v>
      </c>
      <c r="H215" s="163">
        <f>746.34*(ROUND(1.05,2))</f>
        <v>783.65700000000004</v>
      </c>
    </row>
    <row r="216" spans="2:8" x14ac:dyDescent="0.25">
      <c r="B216" s="180"/>
      <c r="C216" s="179"/>
      <c r="D216" s="149" t="s">
        <v>17</v>
      </c>
      <c r="E216" s="163">
        <f>253.76*(ROUND(1.05,2))</f>
        <v>266.44799999999998</v>
      </c>
      <c r="F216" s="163">
        <f>253.76*(ROUND(1.05,2))</f>
        <v>266.44799999999998</v>
      </c>
      <c r="G216" s="163">
        <f>507.5*(ROUND(1.05,2))</f>
        <v>532.875</v>
      </c>
      <c r="H216" s="163">
        <f>761.26*(ROUND(1.05,2))</f>
        <v>799.32299999999998</v>
      </c>
    </row>
    <row r="217" spans="2:8" x14ac:dyDescent="0.25">
      <c r="B217" s="180"/>
      <c r="C217" s="179"/>
      <c r="D217" s="149" t="s">
        <v>18</v>
      </c>
      <c r="E217" s="163">
        <f>258.83*(ROUND(1.05,2))</f>
        <v>271.7715</v>
      </c>
      <c r="F217" s="163">
        <f>258.83*(ROUND(1.05,2))</f>
        <v>271.7715</v>
      </c>
      <c r="G217" s="163">
        <f>517.66*(ROUND(1.05,2))</f>
        <v>543.54300000000001</v>
      </c>
      <c r="H217" s="163">
        <f>776.5*(ROUND(1.05,2))</f>
        <v>815.32500000000005</v>
      </c>
    </row>
    <row r="218" spans="2:8" x14ac:dyDescent="0.25">
      <c r="B218" s="180"/>
      <c r="C218" s="179"/>
      <c r="D218" s="149" t="s">
        <v>19</v>
      </c>
      <c r="E218" s="163">
        <f>264.01*(ROUND(1.05,2))</f>
        <v>277.21050000000002</v>
      </c>
      <c r="F218" s="163">
        <f>264.01*(ROUND(1.05,2))</f>
        <v>277.21050000000002</v>
      </c>
      <c r="G218" s="163">
        <f>528.01*(ROUND(1.05,2))</f>
        <v>554.41050000000007</v>
      </c>
      <c r="H218" s="163">
        <f>792.03*(ROUND(1.05,2))</f>
        <v>831.63149999999996</v>
      </c>
    </row>
    <row r="219" spans="2:8" x14ac:dyDescent="0.25">
      <c r="B219" s="190"/>
      <c r="C219" s="187"/>
      <c r="D219" s="151" t="s">
        <v>20</v>
      </c>
      <c r="E219" s="163">
        <f>269.29*(ROUND(1.05,2))</f>
        <v>282.75450000000001</v>
      </c>
      <c r="F219" s="163">
        <f>269.29*(ROUND(1.05,2))</f>
        <v>282.75450000000001</v>
      </c>
      <c r="G219" s="163">
        <f>538.57*(ROUND(1.05,2))</f>
        <v>565.49850000000004</v>
      </c>
      <c r="H219" s="163">
        <f>807.87*(ROUND(1.05,2))</f>
        <v>848.26350000000002</v>
      </c>
    </row>
    <row r="220" spans="2:8" x14ac:dyDescent="0.25">
      <c r="B220" s="180" t="s">
        <v>115</v>
      </c>
      <c r="C220" s="181" t="s">
        <v>116</v>
      </c>
      <c r="D220" s="181" t="s">
        <v>117</v>
      </c>
      <c r="E220" s="182" t="s">
        <v>106</v>
      </c>
      <c r="F220" s="182"/>
      <c r="G220" s="182"/>
      <c r="H220" s="182"/>
    </row>
    <row r="221" spans="2:8" ht="30" x14ac:dyDescent="0.25">
      <c r="B221" s="180"/>
      <c r="C221" s="181"/>
      <c r="D221" s="181"/>
      <c r="E221" s="150" t="s">
        <v>118</v>
      </c>
      <c r="F221" s="150" t="s">
        <v>107</v>
      </c>
      <c r="G221" s="150" t="s">
        <v>108</v>
      </c>
      <c r="H221" s="150" t="s">
        <v>109</v>
      </c>
    </row>
    <row r="222" spans="2:8" ht="15" customHeight="1" x14ac:dyDescent="0.25">
      <c r="B222" s="184" t="s">
        <v>120</v>
      </c>
      <c r="C222" s="183" t="s">
        <v>14</v>
      </c>
      <c r="D222" s="149" t="s">
        <v>15</v>
      </c>
      <c r="E222" s="163">
        <f>232.38*(ROUND(1.05,2))</f>
        <v>243.999</v>
      </c>
      <c r="F222" s="163">
        <f>232.38*(ROUND(1.05,2))</f>
        <v>243.999</v>
      </c>
      <c r="G222" s="163">
        <f>464.78*(ROUND(1.05,2))</f>
        <v>488.01900000000001</v>
      </c>
      <c r="H222" s="163">
        <f>697.17*(ROUND(1.05,2))</f>
        <v>732.02850000000001</v>
      </c>
    </row>
    <row r="223" spans="2:8" x14ac:dyDescent="0.25">
      <c r="B223" s="185"/>
      <c r="C223" s="183"/>
      <c r="D223" s="149" t="s">
        <v>16</v>
      </c>
      <c r="E223" s="163">
        <f>237.05*(ROUND(1.05,2))</f>
        <v>248.90250000000003</v>
      </c>
      <c r="F223" s="163">
        <f>237.05*(ROUND(1.05,2))</f>
        <v>248.90250000000003</v>
      </c>
      <c r="G223" s="163">
        <f>474.09*(ROUND(1.05,2))</f>
        <v>497.79449999999997</v>
      </c>
      <c r="H223" s="163">
        <f>711.14*(ROUND(1.05,2))</f>
        <v>746.697</v>
      </c>
    </row>
    <row r="224" spans="2:8" x14ac:dyDescent="0.25">
      <c r="B224" s="185"/>
      <c r="C224" s="183"/>
      <c r="D224" s="149" t="s">
        <v>17</v>
      </c>
      <c r="E224" s="163">
        <f>241.78*(ROUND(1.05,2))</f>
        <v>253.869</v>
      </c>
      <c r="F224" s="163">
        <f>241.78*(ROUND(1.05,2))</f>
        <v>253.869</v>
      </c>
      <c r="G224" s="163">
        <f>483.57*(ROUND(1.05,2))</f>
        <v>507.74850000000004</v>
      </c>
      <c r="H224" s="163">
        <f>725.35*(ROUND(1.05,2))</f>
        <v>761.61750000000006</v>
      </c>
    </row>
    <row r="225" spans="2:8" x14ac:dyDescent="0.25">
      <c r="B225" s="185"/>
      <c r="C225" s="183"/>
      <c r="D225" s="149" t="s">
        <v>18</v>
      </c>
      <c r="E225" s="163">
        <f>246.61*(ROUND(1.05,2))</f>
        <v>258.94050000000004</v>
      </c>
      <c r="F225" s="163">
        <f>246.61*(ROUND(1.05,2))</f>
        <v>258.94050000000004</v>
      </c>
      <c r="G225" s="163">
        <f>493.22*(ROUND(1.05,2))</f>
        <v>517.88100000000009</v>
      </c>
      <c r="H225" s="163">
        <f>739.83*(ROUND(1.05,2))</f>
        <v>776.82150000000013</v>
      </c>
    </row>
    <row r="226" spans="2:8" x14ac:dyDescent="0.25">
      <c r="B226" s="185"/>
      <c r="C226" s="183"/>
      <c r="D226" s="149" t="s">
        <v>19</v>
      </c>
      <c r="E226" s="163">
        <f>251.55*(ROUND(1.05,2))</f>
        <v>264.1275</v>
      </c>
      <c r="F226" s="163">
        <f>251.55*(ROUND(1.05,2))</f>
        <v>264.1275</v>
      </c>
      <c r="G226" s="163">
        <f>503.09*(ROUND(1.05,2))</f>
        <v>528.24450000000002</v>
      </c>
      <c r="H226" s="163">
        <f>754.63*(ROUND(1.05,2))</f>
        <v>792.36149999999998</v>
      </c>
    </row>
    <row r="227" spans="2:8" x14ac:dyDescent="0.25">
      <c r="B227" s="185"/>
      <c r="C227" s="183"/>
      <c r="D227" s="149" t="s">
        <v>20</v>
      </c>
      <c r="E227" s="163">
        <f>256.57*(ROUND(1.05,2))</f>
        <v>269.39850000000001</v>
      </c>
      <c r="F227" s="163">
        <f>256.57*(ROUND(1.05,2))</f>
        <v>269.39850000000001</v>
      </c>
      <c r="G227" s="163">
        <f>513.16*(ROUND(1.05,2))</f>
        <v>538.81799999999998</v>
      </c>
      <c r="H227" s="163">
        <f>769.73*(ROUND(1.05,2))</f>
        <v>808.21650000000011</v>
      </c>
    </row>
    <row r="228" spans="2:8" x14ac:dyDescent="0.25">
      <c r="B228" s="185"/>
      <c r="C228" s="183" t="s">
        <v>21</v>
      </c>
      <c r="D228" s="149" t="s">
        <v>15</v>
      </c>
      <c r="E228" s="163">
        <f>261.71*(ROUND(1.05,2))</f>
        <v>274.7955</v>
      </c>
      <c r="F228" s="163">
        <f>261.71*(ROUND(1.05,2))</f>
        <v>274.7955</v>
      </c>
      <c r="G228" s="163">
        <f>523.41*(ROUND(1.05,2))</f>
        <v>549.58050000000003</v>
      </c>
      <c r="H228" s="163">
        <f>785.12*(ROUND(1.05,2))</f>
        <v>824.37600000000009</v>
      </c>
    </row>
    <row r="229" spans="2:8" x14ac:dyDescent="0.25">
      <c r="B229" s="185"/>
      <c r="C229" s="183"/>
      <c r="D229" s="149" t="s">
        <v>16</v>
      </c>
      <c r="E229" s="163">
        <f>266.95*(ROUND(1.05,2))</f>
        <v>280.29750000000001</v>
      </c>
      <c r="F229" s="163">
        <f>266.95*(ROUND(1.05,2))</f>
        <v>280.29750000000001</v>
      </c>
      <c r="G229" s="163">
        <f>533.89*(ROUND(1.05,2))</f>
        <v>560.58450000000005</v>
      </c>
      <c r="H229" s="163">
        <f>800.85*(ROUND(1.05,2))</f>
        <v>840.89250000000004</v>
      </c>
    </row>
    <row r="230" spans="2:8" x14ac:dyDescent="0.25">
      <c r="B230" s="185"/>
      <c r="C230" s="183"/>
      <c r="D230" s="149" t="s">
        <v>17</v>
      </c>
      <c r="E230" s="163">
        <f>272.28*(ROUND(1.05,2))</f>
        <v>285.89400000000001</v>
      </c>
      <c r="F230" s="163">
        <f>272.28*(ROUND(1.05,2))</f>
        <v>285.89400000000001</v>
      </c>
      <c r="G230" s="163">
        <f>544.57*(ROUND(1.05,2))</f>
        <v>571.7985000000001</v>
      </c>
      <c r="H230" s="163">
        <f>816.85*(ROUND(1.05,2))</f>
        <v>857.69250000000011</v>
      </c>
    </row>
    <row r="231" spans="2:8" x14ac:dyDescent="0.25">
      <c r="B231" s="185"/>
      <c r="C231" s="183"/>
      <c r="D231" s="149" t="s">
        <v>18</v>
      </c>
      <c r="E231" s="163">
        <f>277.73*(ROUND(1.05,2))</f>
        <v>291.61650000000003</v>
      </c>
      <c r="F231" s="163">
        <f>277.73*(ROUND(1.05,2))</f>
        <v>291.61650000000003</v>
      </c>
      <c r="G231" s="163">
        <f>555.47*(ROUND(1.05,2))</f>
        <v>583.24350000000004</v>
      </c>
      <c r="H231" s="163">
        <f>833.19*(ROUND(1.05,2))</f>
        <v>874.84950000000015</v>
      </c>
    </row>
    <row r="232" spans="2:8" x14ac:dyDescent="0.25">
      <c r="B232" s="185"/>
      <c r="C232" s="183"/>
      <c r="D232" s="149" t="s">
        <v>19</v>
      </c>
      <c r="E232" s="163">
        <f>283.28*(ROUND(1.05,2))</f>
        <v>297.44399999999996</v>
      </c>
      <c r="F232" s="163">
        <f>283.28*(ROUND(1.05,2))</f>
        <v>297.44399999999996</v>
      </c>
      <c r="G232" s="163">
        <f>566.56*(ROUND(1.05,2))</f>
        <v>594.88799999999992</v>
      </c>
      <c r="H232" s="163">
        <f>849.83*(ROUND(1.05,2))</f>
        <v>892.32150000000013</v>
      </c>
    </row>
    <row r="233" spans="2:8" x14ac:dyDescent="0.25">
      <c r="B233" s="185"/>
      <c r="C233" s="183"/>
      <c r="D233" s="149" t="s">
        <v>20</v>
      </c>
      <c r="E233" s="163">
        <f>288.95*(ROUND(1.05,2))</f>
        <v>303.39749999999998</v>
      </c>
      <c r="F233" s="163">
        <f>288.95*(ROUND(1.05,2))</f>
        <v>303.39749999999998</v>
      </c>
      <c r="G233" s="163">
        <f>577.88*(ROUND(1.05,2))</f>
        <v>606.774</v>
      </c>
      <c r="H233" s="163">
        <f>866.83*(ROUND(1.05,2))</f>
        <v>910.17150000000004</v>
      </c>
    </row>
    <row r="234" spans="2:8" x14ac:dyDescent="0.25">
      <c r="B234" s="185"/>
      <c r="C234" s="187" t="s">
        <v>112</v>
      </c>
      <c r="D234" s="149" t="s">
        <v>15</v>
      </c>
      <c r="E234" s="163">
        <f>294.73*(ROUND(1.05,2))</f>
        <v>309.46650000000005</v>
      </c>
      <c r="F234" s="163">
        <f>294.73*(ROUND(1.05,2))</f>
        <v>309.46650000000005</v>
      </c>
      <c r="G234" s="163">
        <f>589.46*(ROUND(1.05,2))</f>
        <v>618.93300000000011</v>
      </c>
      <c r="H234" s="163">
        <f>884.19*(ROUND(1.05,2))</f>
        <v>928.3995000000001</v>
      </c>
    </row>
    <row r="235" spans="2:8" x14ac:dyDescent="0.25">
      <c r="B235" s="185"/>
      <c r="C235" s="188"/>
      <c r="D235" s="149" t="s">
        <v>16</v>
      </c>
      <c r="E235" s="163">
        <f>300.62*(ROUND(1.05,2))</f>
        <v>315.65100000000001</v>
      </c>
      <c r="F235" s="163">
        <f>300.62*(ROUND(1.05,2))</f>
        <v>315.65100000000001</v>
      </c>
      <c r="G235" s="163">
        <f>601.24*(ROUND(1.05,2))</f>
        <v>631.30200000000002</v>
      </c>
      <c r="H235" s="163">
        <f>901.85*(ROUND(1.05,2))</f>
        <v>946.94250000000011</v>
      </c>
    </row>
    <row r="236" spans="2:8" x14ac:dyDescent="0.25">
      <c r="B236" s="185"/>
      <c r="C236" s="188"/>
      <c r="D236" s="149" t="s">
        <v>17</v>
      </c>
      <c r="E236" s="163">
        <f>306.63*(ROUND(1.05,2))</f>
        <v>321.9615</v>
      </c>
      <c r="F236" s="163">
        <f>306.63*(ROUND(1.05,2))</f>
        <v>321.9615</v>
      </c>
      <c r="G236" s="163">
        <f>613.27*(ROUND(1.05,2))</f>
        <v>643.93349999999998</v>
      </c>
      <c r="H236" s="163">
        <f>919.9*(ROUND(1.05,2))</f>
        <v>965.89499999999998</v>
      </c>
    </row>
    <row r="237" spans="2:8" x14ac:dyDescent="0.25">
      <c r="B237" s="185"/>
      <c r="C237" s="188"/>
      <c r="D237" s="149" t="s">
        <v>18</v>
      </c>
      <c r="E237" s="163">
        <f>312.76*(ROUND(1.05,2))</f>
        <v>328.39800000000002</v>
      </c>
      <c r="F237" s="163">
        <f>312.76*(ROUND(1.05,2))</f>
        <v>328.39800000000002</v>
      </c>
      <c r="G237" s="163">
        <f>625.53*(ROUND(1.05,2))</f>
        <v>656.80650000000003</v>
      </c>
      <c r="H237" s="163">
        <f>938.29*(ROUND(1.05,2))</f>
        <v>985.20450000000005</v>
      </c>
    </row>
    <row r="238" spans="2:8" x14ac:dyDescent="0.25">
      <c r="B238" s="185"/>
      <c r="C238" s="188"/>
      <c r="D238" s="149" t="s">
        <v>19</v>
      </c>
      <c r="E238" s="163">
        <f>319.02*(ROUND(1.05,2))</f>
        <v>334.971</v>
      </c>
      <c r="F238" s="163">
        <f>319.02*(ROUND(1.05,2))</f>
        <v>334.971</v>
      </c>
      <c r="G238" s="163">
        <f>638.04*(ROUND(1.05,2))</f>
        <v>669.94200000000001</v>
      </c>
      <c r="H238" s="163">
        <f>957.06*(ROUND(1.05,2))</f>
        <v>1004.913</v>
      </c>
    </row>
    <row r="239" spans="2:8" x14ac:dyDescent="0.25">
      <c r="B239" s="186"/>
      <c r="C239" s="189"/>
      <c r="D239" s="149" t="s">
        <v>20</v>
      </c>
      <c r="E239" s="163">
        <f>325.46*(ROUND(1.05,2))</f>
        <v>341.733</v>
      </c>
      <c r="F239" s="163">
        <f>325.46*(ROUND(1.05,2))</f>
        <v>341.733</v>
      </c>
      <c r="G239" s="163">
        <f>650.8*(ROUND(1.05,2))</f>
        <v>683.34</v>
      </c>
      <c r="H239" s="163">
        <f>976.2*(ROUND(1.05,2))</f>
        <v>1025.01</v>
      </c>
    </row>
    <row r="241" spans="2:8" x14ac:dyDescent="0.25">
      <c r="B241" s="180" t="s">
        <v>115</v>
      </c>
      <c r="C241" s="181" t="s">
        <v>116</v>
      </c>
      <c r="D241" s="181" t="s">
        <v>117</v>
      </c>
      <c r="E241" s="182" t="s">
        <v>106</v>
      </c>
      <c r="F241" s="182"/>
      <c r="G241" s="182"/>
      <c r="H241" s="182"/>
    </row>
    <row r="242" spans="2:8" ht="30" x14ac:dyDescent="0.25">
      <c r="B242" s="180"/>
      <c r="C242" s="181"/>
      <c r="D242" s="181"/>
      <c r="E242" s="150" t="s">
        <v>118</v>
      </c>
      <c r="F242" s="150" t="s">
        <v>107</v>
      </c>
      <c r="G242" s="150" t="s">
        <v>108</v>
      </c>
      <c r="H242" s="150" t="s">
        <v>109</v>
      </c>
    </row>
    <row r="243" spans="2:8" x14ac:dyDescent="0.25">
      <c r="B243" s="183" t="s">
        <v>669</v>
      </c>
      <c r="C243" s="179" t="s">
        <v>14</v>
      </c>
      <c r="D243" s="149" t="s">
        <v>15</v>
      </c>
      <c r="E243" s="163">
        <f>158.38*(ROUND(1.05,2))</f>
        <v>166.29900000000001</v>
      </c>
      <c r="F243" s="163">
        <f>158.38*(ROUND(1.05,2))</f>
        <v>166.29900000000001</v>
      </c>
      <c r="G243" s="163">
        <f>316.75*(ROUND(1.05,2))</f>
        <v>332.58750000000003</v>
      </c>
      <c r="H243" s="163">
        <f>475.13*(ROUND(1.05,2))</f>
        <v>498.88650000000001</v>
      </c>
    </row>
    <row r="244" spans="2:8" x14ac:dyDescent="0.25">
      <c r="B244" s="183"/>
      <c r="C244" s="179"/>
      <c r="D244" s="149" t="s">
        <v>16</v>
      </c>
      <c r="E244" s="163">
        <f>161.54*(ROUND(1.05,2))</f>
        <v>169.61699999999999</v>
      </c>
      <c r="F244" s="163">
        <f>161.54*(ROUND(1.05,2))</f>
        <v>169.61699999999999</v>
      </c>
      <c r="G244" s="163">
        <f>323.09*(ROUND(1.05,2))</f>
        <v>339.24450000000002</v>
      </c>
      <c r="H244" s="163">
        <f>484.62*(ROUND(1.05,2))</f>
        <v>508.851</v>
      </c>
    </row>
    <row r="245" spans="2:8" x14ac:dyDescent="0.25">
      <c r="B245" s="183"/>
      <c r="C245" s="179"/>
      <c r="D245" s="149" t="s">
        <v>17</v>
      </c>
      <c r="E245" s="163">
        <f>164.77*(ROUND(1.05,2))</f>
        <v>173.00850000000003</v>
      </c>
      <c r="F245" s="163">
        <f>164.77*(ROUND(1.05,2))</f>
        <v>173.00850000000003</v>
      </c>
      <c r="G245" s="163">
        <f>329.54*(ROUND(1.05,2))</f>
        <v>346.01700000000005</v>
      </c>
      <c r="H245" s="163">
        <f>494.31*(ROUND(1.05,2))</f>
        <v>519.02550000000008</v>
      </c>
    </row>
    <row r="246" spans="2:8" x14ac:dyDescent="0.25">
      <c r="B246" s="183"/>
      <c r="C246" s="179"/>
      <c r="D246" s="149" t="s">
        <v>18</v>
      </c>
      <c r="E246" s="163">
        <f>168.07*(ROUND(1.05,2))</f>
        <v>176.4735</v>
      </c>
      <c r="F246" s="163">
        <f>168.07*(ROUND(1.05,2))</f>
        <v>176.4735</v>
      </c>
      <c r="G246" s="163">
        <f>336.12*(ROUND(1.05,2))</f>
        <v>352.92600000000004</v>
      </c>
      <c r="H246" s="163">
        <f>504.2*(ROUND(1.05,2))</f>
        <v>529.41</v>
      </c>
    </row>
    <row r="247" spans="2:8" x14ac:dyDescent="0.25">
      <c r="B247" s="183"/>
      <c r="C247" s="179"/>
      <c r="D247" s="149" t="s">
        <v>19</v>
      </c>
      <c r="E247" s="163">
        <f>171.42*(ROUND(1.05,2))</f>
        <v>179.99099999999999</v>
      </c>
      <c r="F247" s="163">
        <f>171.42*(ROUND(1.05,2))</f>
        <v>179.99099999999999</v>
      </c>
      <c r="G247" s="163">
        <f>342.85*(ROUND(1.05,2))</f>
        <v>359.99250000000006</v>
      </c>
      <c r="H247" s="163">
        <f>514.28*(ROUND(1.05,2))</f>
        <v>539.99400000000003</v>
      </c>
    </row>
    <row r="248" spans="2:8" x14ac:dyDescent="0.25">
      <c r="B248" s="183"/>
      <c r="C248" s="179"/>
      <c r="D248" s="149" t="s">
        <v>20</v>
      </c>
      <c r="E248" s="163">
        <f>174.86*(ROUND(1.05,2))</f>
        <v>183.60300000000001</v>
      </c>
      <c r="F248" s="163">
        <f>174.86*(ROUND(1.05,2))</f>
        <v>183.60300000000001</v>
      </c>
      <c r="G248" s="163">
        <f>349.72*(ROUND(1.05,2))</f>
        <v>367.20600000000002</v>
      </c>
      <c r="H248" s="163">
        <f>524.59*(ROUND(1.05,2))</f>
        <v>550.81950000000006</v>
      </c>
    </row>
    <row r="249" spans="2:8" x14ac:dyDescent="0.25">
      <c r="B249" s="183"/>
      <c r="C249" s="179" t="s">
        <v>21</v>
      </c>
      <c r="D249" s="149" t="s">
        <v>15</v>
      </c>
      <c r="E249" s="163">
        <f>178.35*(ROUND(1.05,2))</f>
        <v>187.26750000000001</v>
      </c>
      <c r="F249" s="163">
        <f>178.35*(ROUND(1.05,2))</f>
        <v>187.26750000000001</v>
      </c>
      <c r="G249" s="163">
        <f>356.7*(ROUND(1.05,2))</f>
        <v>374.53500000000003</v>
      </c>
      <c r="H249" s="163">
        <f>535.05*(ROUND(1.05,2))</f>
        <v>561.80250000000001</v>
      </c>
    </row>
    <row r="250" spans="2:8" x14ac:dyDescent="0.25">
      <c r="B250" s="183"/>
      <c r="C250" s="179"/>
      <c r="D250" s="149" t="s">
        <v>16</v>
      </c>
      <c r="E250" s="163">
        <f>181.91*(ROUND(1.05,2))</f>
        <v>191.00550000000001</v>
      </c>
      <c r="F250" s="163">
        <f>181.91*(ROUND(1.05,2))</f>
        <v>191.00550000000001</v>
      </c>
      <c r="G250" s="163">
        <f>363.84*(ROUND(1.05,2))</f>
        <v>382.03199999999998</v>
      </c>
      <c r="H250" s="163">
        <f>545.75*(ROUND(1.05,2))</f>
        <v>573.03750000000002</v>
      </c>
    </row>
    <row r="251" spans="2:8" x14ac:dyDescent="0.25">
      <c r="B251" s="183"/>
      <c r="C251" s="179"/>
      <c r="D251" s="149" t="s">
        <v>17</v>
      </c>
      <c r="E251" s="163">
        <f>185.56*(ROUND(1.05,2))</f>
        <v>194.83800000000002</v>
      </c>
      <c r="F251" s="163">
        <f>185.56*(ROUND(1.05,2))</f>
        <v>194.83800000000002</v>
      </c>
      <c r="G251" s="163">
        <f>371.12*(ROUND(1.05,2))</f>
        <v>389.67600000000004</v>
      </c>
      <c r="H251" s="163">
        <f>556.68*(ROUND(1.05,2))</f>
        <v>584.51400000000001</v>
      </c>
    </row>
    <row r="252" spans="2:8" x14ac:dyDescent="0.25">
      <c r="B252" s="183"/>
      <c r="C252" s="179"/>
      <c r="D252" s="149" t="s">
        <v>18</v>
      </c>
      <c r="E252" s="163">
        <f>189.27*(ROUND(1.05,2))</f>
        <v>198.73350000000002</v>
      </c>
      <c r="F252" s="163">
        <f>189.27*(ROUND(1.05,2))</f>
        <v>198.73350000000002</v>
      </c>
      <c r="G252" s="163">
        <f>378.53*(ROUND(1.05,2))</f>
        <v>397.45650000000001</v>
      </c>
      <c r="H252" s="163">
        <f>567.8*(ROUND(1.05,2))</f>
        <v>596.18999999999994</v>
      </c>
    </row>
    <row r="253" spans="2:8" x14ac:dyDescent="0.25">
      <c r="B253" s="183"/>
      <c r="C253" s="179"/>
      <c r="D253" s="149" t="s">
        <v>387</v>
      </c>
      <c r="E253" s="163">
        <f>193.06*(ROUND(1.05,2))</f>
        <v>202.71300000000002</v>
      </c>
      <c r="F253" s="163">
        <f>193.06*(ROUND(1.05,2))</f>
        <v>202.71300000000002</v>
      </c>
      <c r="G253" s="163">
        <f>386.11*(ROUND(1.05,2))</f>
        <v>405.41550000000001</v>
      </c>
      <c r="H253" s="163">
        <f>579.16*(ROUND(1.05,2))</f>
        <v>608.11799999999994</v>
      </c>
    </row>
    <row r="254" spans="2:8" x14ac:dyDescent="0.25">
      <c r="B254" s="183"/>
      <c r="C254" s="179"/>
      <c r="D254" s="149" t="s">
        <v>20</v>
      </c>
      <c r="E254" s="163">
        <f>196.92*(ROUND(1.05,2))</f>
        <v>206.76599999999999</v>
      </c>
      <c r="F254" s="163">
        <f>196.92*(ROUND(1.05,2))</f>
        <v>206.76599999999999</v>
      </c>
      <c r="G254" s="163">
        <f>393.84*(ROUND(1.05,2))</f>
        <v>413.53199999999998</v>
      </c>
      <c r="H254" s="163">
        <f>590.76*(ROUND(1.05,2))</f>
        <v>620.298</v>
      </c>
    </row>
    <row r="255" spans="2:8" x14ac:dyDescent="0.25">
      <c r="B255" s="183"/>
      <c r="C255" s="179" t="s">
        <v>112</v>
      </c>
      <c r="D255" s="149" t="s">
        <v>15</v>
      </c>
      <c r="E255" s="163">
        <f>200.85*(ROUND(1.05,2))</f>
        <v>210.89250000000001</v>
      </c>
      <c r="F255" s="163">
        <f>200.85*(ROUND(1.05,2))</f>
        <v>210.89250000000001</v>
      </c>
      <c r="G255" s="163">
        <f>401.71*(ROUND(1.05,2))</f>
        <v>421.7955</v>
      </c>
      <c r="H255" s="163">
        <f>602.56*(ROUND(1.05,2))</f>
        <v>632.68799999999999</v>
      </c>
    </row>
    <row r="256" spans="2:8" x14ac:dyDescent="0.25">
      <c r="B256" s="183"/>
      <c r="C256" s="179"/>
      <c r="D256" s="149" t="s">
        <v>16</v>
      </c>
      <c r="E256" s="163">
        <f>204.88*(ROUND(1.05,2))</f>
        <v>215.124</v>
      </c>
      <c r="F256" s="163">
        <f>204.88*(ROUND(1.05,2))</f>
        <v>215.124</v>
      </c>
      <c r="G256" s="163">
        <f>409.74*(ROUND(1.05,2))</f>
        <v>430.22700000000003</v>
      </c>
      <c r="H256" s="163">
        <f>614.63*(ROUND(1.05,2))</f>
        <v>645.36149999999998</v>
      </c>
    </row>
    <row r="257" spans="2:8" x14ac:dyDescent="0.25">
      <c r="B257" s="183"/>
      <c r="C257" s="179"/>
      <c r="D257" s="149" t="s">
        <v>17</v>
      </c>
      <c r="E257" s="163">
        <f>208.97*(ROUND(1.05,2))</f>
        <v>219.41849999999999</v>
      </c>
      <c r="F257" s="163">
        <f>208.97*(ROUND(1.05,2))</f>
        <v>219.41849999999999</v>
      </c>
      <c r="G257" s="163">
        <f>417.94*(ROUND(1.05,2))</f>
        <v>438.83699999999999</v>
      </c>
      <c r="H257" s="163">
        <f>626.91*(ROUND(1.05,2))</f>
        <v>658.25549999999998</v>
      </c>
    </row>
    <row r="258" spans="2:8" x14ac:dyDescent="0.25">
      <c r="B258" s="183"/>
      <c r="C258" s="179"/>
      <c r="D258" s="149" t="s">
        <v>18</v>
      </c>
      <c r="E258" s="163">
        <f>213.14*(ROUND(1.05,2))</f>
        <v>223.797</v>
      </c>
      <c r="F258" s="163">
        <f>213.14*(ROUND(1.05,2))</f>
        <v>223.797</v>
      </c>
      <c r="G258" s="163">
        <f>426.31*(ROUND(1.05,2))</f>
        <v>447.62550000000005</v>
      </c>
      <c r="H258" s="163">
        <f>639.45*(ROUND(1.05,2))</f>
        <v>671.42250000000013</v>
      </c>
    </row>
    <row r="259" spans="2:8" x14ac:dyDescent="0.25">
      <c r="B259" s="183"/>
      <c r="C259" s="179"/>
      <c r="D259" s="149" t="s">
        <v>19</v>
      </c>
      <c r="E259" s="163">
        <f>217.4*(ROUND(1.05,2))</f>
        <v>228.27</v>
      </c>
      <c r="F259" s="163">
        <f>217.4*(ROUND(1.05,2))</f>
        <v>228.27</v>
      </c>
      <c r="G259" s="163">
        <f>434.81*(ROUND(1.05,2))</f>
        <v>456.5505</v>
      </c>
      <c r="H259" s="163">
        <f>652.23*(ROUND(1.05,2))</f>
        <v>684.8415</v>
      </c>
    </row>
    <row r="260" spans="2:8" x14ac:dyDescent="0.25">
      <c r="B260" s="183"/>
      <c r="C260" s="179"/>
      <c r="D260" s="149" t="s">
        <v>20</v>
      </c>
      <c r="E260" s="163">
        <f>221.75*(ROUND(1.05,2))</f>
        <v>232.83750000000001</v>
      </c>
      <c r="F260" s="163">
        <f>221.75*(ROUND(1.05,2))</f>
        <v>232.83750000000001</v>
      </c>
      <c r="G260" s="163">
        <f>443.52*(ROUND(1.05,2))</f>
        <v>465.69600000000003</v>
      </c>
      <c r="H260" s="163">
        <f>665.28*(ROUND(1.05,2))</f>
        <v>698.54399999999998</v>
      </c>
    </row>
    <row r="263" spans="2:8" x14ac:dyDescent="0.25">
      <c r="B263" t="s">
        <v>122</v>
      </c>
    </row>
    <row r="264" spans="2:8" x14ac:dyDescent="0.25">
      <c r="B264" s="179" t="s">
        <v>123</v>
      </c>
      <c r="C264" s="179"/>
      <c r="D264" s="179"/>
      <c r="E264" s="179"/>
      <c r="F264" s="179"/>
      <c r="G264" s="179"/>
      <c r="H264" s="179"/>
    </row>
    <row r="265" spans="2:8" x14ac:dyDescent="0.25">
      <c r="B265" s="180" t="s">
        <v>115</v>
      </c>
      <c r="C265" s="181" t="s">
        <v>116</v>
      </c>
      <c r="D265" s="181" t="s">
        <v>117</v>
      </c>
      <c r="E265" s="182" t="s">
        <v>106</v>
      </c>
      <c r="F265" s="182"/>
      <c r="G265" s="182"/>
      <c r="H265" s="182"/>
    </row>
    <row r="266" spans="2:8" ht="30" x14ac:dyDescent="0.25">
      <c r="B266" s="180"/>
      <c r="C266" s="181"/>
      <c r="D266" s="181"/>
      <c r="E266" s="150" t="s">
        <v>118</v>
      </c>
      <c r="F266" s="150" t="s">
        <v>107</v>
      </c>
      <c r="G266" s="150" t="s">
        <v>108</v>
      </c>
      <c r="H266" s="150" t="s">
        <v>109</v>
      </c>
    </row>
    <row r="267" spans="2:8" x14ac:dyDescent="0.25">
      <c r="B267" s="183" t="s">
        <v>124</v>
      </c>
      <c r="C267" s="179" t="s">
        <v>14</v>
      </c>
      <c r="D267" s="148" t="s">
        <v>15</v>
      </c>
      <c r="E267" s="163">
        <f>134.13*(ROUND(1.05,2))</f>
        <v>140.8365</v>
      </c>
      <c r="F267" s="163">
        <f>134.13*(ROUND(1.05,2))</f>
        <v>140.8365</v>
      </c>
      <c r="G267" s="163">
        <f>268.28*(ROUND(1.05,2))</f>
        <v>281.69399999999996</v>
      </c>
      <c r="H267" s="163">
        <f>402.42*(ROUND(1.05,2))</f>
        <v>422.54100000000005</v>
      </c>
    </row>
    <row r="268" spans="2:8" x14ac:dyDescent="0.25">
      <c r="B268" s="183"/>
      <c r="C268" s="179"/>
      <c r="D268" s="148" t="s">
        <v>16</v>
      </c>
      <c r="E268" s="163">
        <f>136.82*(ROUND(1.05,2))</f>
        <v>143.661</v>
      </c>
      <c r="F268" s="163">
        <f>136.82*(ROUND(1.05,2))</f>
        <v>143.661</v>
      </c>
      <c r="G268" s="163">
        <f>273.63*(ROUND(1.05,2))</f>
        <v>287.31150000000002</v>
      </c>
      <c r="H268" s="163">
        <f>410.46*(ROUND(1.05,2))</f>
        <v>430.983</v>
      </c>
    </row>
    <row r="269" spans="2:8" x14ac:dyDescent="0.25">
      <c r="B269" s="183"/>
      <c r="C269" s="179"/>
      <c r="D269" s="148" t="s">
        <v>17</v>
      </c>
      <c r="E269" s="163">
        <f>139.55*(ROUND(1.05,2))</f>
        <v>146.52750000000003</v>
      </c>
      <c r="F269" s="163">
        <f>139.55*(ROUND(1.05,2))</f>
        <v>146.52750000000003</v>
      </c>
      <c r="G269" s="163">
        <f>279.13*(ROUND(1.05,2))</f>
        <v>293.0865</v>
      </c>
      <c r="H269" s="163">
        <f>418.68*(ROUND(1.05,2))</f>
        <v>439.61400000000003</v>
      </c>
    </row>
    <row r="270" spans="2:8" x14ac:dyDescent="0.25">
      <c r="B270" s="183"/>
      <c r="C270" s="179"/>
      <c r="D270" s="148" t="s">
        <v>18</v>
      </c>
      <c r="E270" s="163">
        <f>142.36*(ROUND(1.05,2))</f>
        <v>149.47800000000001</v>
      </c>
      <c r="F270" s="163">
        <f>142.36*(ROUND(1.05,2))</f>
        <v>149.47800000000001</v>
      </c>
      <c r="G270" s="163">
        <f>284.7*(ROUND(1.05,2))</f>
        <v>298.935</v>
      </c>
      <c r="H270" s="163">
        <f>427.06*(ROUND(1.05,2))</f>
        <v>448.41300000000001</v>
      </c>
    </row>
    <row r="271" spans="2:8" x14ac:dyDescent="0.25">
      <c r="B271" s="183"/>
      <c r="C271" s="179"/>
      <c r="D271" s="148" t="s">
        <v>19</v>
      </c>
      <c r="E271" s="163">
        <f>145.19*(ROUND(1.05,2))</f>
        <v>152.4495</v>
      </c>
      <c r="F271" s="163">
        <f>145.19*(ROUND(1.05,2))</f>
        <v>152.4495</v>
      </c>
      <c r="G271" s="163">
        <f>290.38*(ROUND(1.05,2))</f>
        <v>304.899</v>
      </c>
      <c r="H271" s="163">
        <f>435.57*(ROUND(1.05,2))</f>
        <v>457.3485</v>
      </c>
    </row>
    <row r="272" spans="2:8" x14ac:dyDescent="0.25">
      <c r="B272" s="183"/>
      <c r="C272" s="179"/>
      <c r="D272" s="148" t="s">
        <v>20</v>
      </c>
      <c r="E272" s="163">
        <f>148.1*(ROUND(1.05,2))</f>
        <v>155.505</v>
      </c>
      <c r="F272" s="163">
        <f>148.1*(ROUND(1.05,2))</f>
        <v>155.505</v>
      </c>
      <c r="G272" s="163">
        <f>296.21*(ROUND(1.05,2))</f>
        <v>311.02049999999997</v>
      </c>
      <c r="H272" s="163">
        <f>444.31*(ROUND(1.05,2))</f>
        <v>466.52550000000002</v>
      </c>
    </row>
    <row r="273" spans="2:9" x14ac:dyDescent="0.25">
      <c r="B273" s="183"/>
      <c r="C273" s="183" t="s">
        <v>21</v>
      </c>
      <c r="D273" s="148" t="s">
        <v>15</v>
      </c>
      <c r="E273" s="163">
        <f>151.06*(ROUND(1.05,2))</f>
        <v>158.613</v>
      </c>
      <c r="F273" s="163">
        <f>151.06*(ROUND(1.05,2))</f>
        <v>158.613</v>
      </c>
      <c r="G273" s="163">
        <f>302.12*(ROUND(1.05,2))</f>
        <v>317.226</v>
      </c>
      <c r="H273" s="163">
        <f>453.19*(ROUND(1.05,2))</f>
        <v>475.84950000000003</v>
      </c>
    </row>
    <row r="274" spans="2:9" x14ac:dyDescent="0.25">
      <c r="B274" s="183"/>
      <c r="C274" s="183"/>
      <c r="D274" s="148" t="s">
        <v>16</v>
      </c>
      <c r="E274" s="163">
        <f>154.08*(ROUND(1.05,2))</f>
        <v>161.78400000000002</v>
      </c>
      <c r="F274" s="163">
        <f>154.08*(ROUND(1.05,2))</f>
        <v>161.78400000000002</v>
      </c>
      <c r="G274" s="163">
        <f>308.17*(ROUND(1.05,2))</f>
        <v>323.57850000000002</v>
      </c>
      <c r="H274" s="163">
        <f>462.25*(ROUND(1.05,2))</f>
        <v>485.36250000000001</v>
      </c>
    </row>
    <row r="275" spans="2:9" x14ac:dyDescent="0.25">
      <c r="B275" s="183"/>
      <c r="C275" s="183"/>
      <c r="D275" s="148" t="s">
        <v>17</v>
      </c>
      <c r="E275" s="163">
        <f>157.16*(ROUND(1.05,2))</f>
        <v>165.018</v>
      </c>
      <c r="F275" s="163">
        <f>157.16*(ROUND(1.05,2))</f>
        <v>165.018</v>
      </c>
      <c r="G275" s="163">
        <f>314.31*(ROUND(1.05,2))</f>
        <v>330.02550000000002</v>
      </c>
      <c r="H275" s="163">
        <f>471.47*(ROUND(1.05,2))</f>
        <v>495.04350000000005</v>
      </c>
    </row>
    <row r="276" spans="2:9" x14ac:dyDescent="0.25">
      <c r="B276" s="183"/>
      <c r="C276" s="183"/>
      <c r="D276" s="148" t="s">
        <v>18</v>
      </c>
      <c r="E276" s="163">
        <f>160.31*(ROUND(1.05,2))</f>
        <v>168.32550000000001</v>
      </c>
      <c r="F276" s="163">
        <f>160.31*(ROUND(1.05,2))</f>
        <v>168.32550000000001</v>
      </c>
      <c r="G276" s="163">
        <f>320.62*(ROUND(1.05,2))</f>
        <v>336.65100000000001</v>
      </c>
      <c r="H276" s="163">
        <f>480.93*(ROUND(1.05,2))</f>
        <v>504.97650000000004</v>
      </c>
    </row>
    <row r="277" spans="2:9" x14ac:dyDescent="0.25">
      <c r="B277" s="183"/>
      <c r="C277" s="183"/>
      <c r="D277" s="148" t="s">
        <v>19</v>
      </c>
      <c r="E277" s="163">
        <f>163.52*(ROUND(1.05,2))</f>
        <v>171.69600000000003</v>
      </c>
      <c r="F277" s="163">
        <f>163.52*(ROUND(1.05,2))</f>
        <v>171.69600000000003</v>
      </c>
      <c r="G277" s="163">
        <f>327.03*(ROUND(1.05,2))</f>
        <v>343.38149999999996</v>
      </c>
      <c r="H277" s="163">
        <f>490.55*(ROUND(1.05,2))</f>
        <v>515.07749999999999</v>
      </c>
    </row>
    <row r="278" spans="2:9" x14ac:dyDescent="0.25">
      <c r="B278" s="183"/>
      <c r="C278" s="183"/>
      <c r="D278" s="148" t="s">
        <v>20</v>
      </c>
      <c r="E278" s="163">
        <f>166.79*(ROUND(1.05,2))</f>
        <v>175.12950000000001</v>
      </c>
      <c r="F278" s="163">
        <f>166.79*(ROUND(1.05,2))</f>
        <v>175.12950000000001</v>
      </c>
      <c r="G278" s="163">
        <f>333.56*(ROUND(1.05,2))</f>
        <v>350.238</v>
      </c>
      <c r="H278" s="163">
        <f>500.36*(ROUND(1.05,2))</f>
        <v>525.37800000000004</v>
      </c>
    </row>
    <row r="279" spans="2:9" x14ac:dyDescent="0.25">
      <c r="B279" s="183"/>
      <c r="C279" s="179" t="s">
        <v>112</v>
      </c>
      <c r="D279" s="148" t="s">
        <v>15</v>
      </c>
      <c r="E279" s="163">
        <f>170.12*(ROUND(1.05,2))</f>
        <v>178.626</v>
      </c>
      <c r="F279" s="163">
        <f>170.12*(ROUND(1.05,2))</f>
        <v>178.626</v>
      </c>
      <c r="G279" s="163">
        <f>340.25*(ROUND(1.05,2))</f>
        <v>357.26249999999999</v>
      </c>
      <c r="H279" s="163">
        <f>510.37*(ROUND(1.05,2))</f>
        <v>535.88850000000002</v>
      </c>
    </row>
    <row r="280" spans="2:9" x14ac:dyDescent="0.25">
      <c r="B280" s="183"/>
      <c r="C280" s="179"/>
      <c r="D280" s="148" t="s">
        <v>16</v>
      </c>
      <c r="E280" s="163">
        <f>173.52*(ROUND(1.05,2))</f>
        <v>182.19600000000003</v>
      </c>
      <c r="F280" s="163">
        <f>173.52*(ROUND(1.05,2))</f>
        <v>182.19600000000003</v>
      </c>
      <c r="G280" s="163">
        <f>347.05*(ROUND(1.05,2))</f>
        <v>364.40250000000003</v>
      </c>
      <c r="H280" s="163">
        <f>520.57*(ROUND(1.05,2))</f>
        <v>546.59850000000006</v>
      </c>
    </row>
    <row r="281" spans="2:9" x14ac:dyDescent="0.25">
      <c r="B281" s="183"/>
      <c r="C281" s="179"/>
      <c r="D281" s="148" t="s">
        <v>17</v>
      </c>
      <c r="E281" s="163">
        <f>176.99*(ROUND(1.05,2))</f>
        <v>185.83950000000002</v>
      </c>
      <c r="F281" s="163">
        <f>176.99*(ROUND(1.05,2))</f>
        <v>185.83950000000002</v>
      </c>
      <c r="G281" s="163">
        <f>353.99*(ROUND(1.05,2))</f>
        <v>371.68950000000001</v>
      </c>
      <c r="H281" s="163">
        <f>530.99*(ROUND(1.05,2))</f>
        <v>557.53950000000009</v>
      </c>
    </row>
    <row r="282" spans="2:9" x14ac:dyDescent="0.25">
      <c r="B282" s="183"/>
      <c r="C282" s="179"/>
      <c r="D282" s="148" t="s">
        <v>18</v>
      </c>
      <c r="E282" s="163">
        <f>180.52*(ROUND(1.05,2))</f>
        <v>189.54600000000002</v>
      </c>
      <c r="F282" s="163">
        <f>180.52*(ROUND(1.05,2))</f>
        <v>189.54600000000002</v>
      </c>
      <c r="G282" s="163">
        <f>361.05*(ROUND(1.05,2))</f>
        <v>379.10250000000002</v>
      </c>
      <c r="H282" s="163">
        <f>541.58*(ROUND(1.05,2))</f>
        <v>568.65900000000011</v>
      </c>
    </row>
    <row r="283" spans="2:9" x14ac:dyDescent="0.25">
      <c r="B283" s="183"/>
      <c r="C283" s="179"/>
      <c r="D283" s="148" t="s">
        <v>19</v>
      </c>
      <c r="E283" s="163">
        <f>184.14*(ROUND(1.05,2))</f>
        <v>193.34699999999998</v>
      </c>
      <c r="F283" s="163">
        <f>184.14*(ROUND(1.05,2))</f>
        <v>193.34699999999998</v>
      </c>
      <c r="G283" s="163">
        <f>368.27*(ROUND(1.05,2))</f>
        <v>386.68349999999998</v>
      </c>
      <c r="H283" s="163">
        <f>552.41*(ROUND(1.05,2))</f>
        <v>580.03049999999996</v>
      </c>
    </row>
    <row r="284" spans="2:9" x14ac:dyDescent="0.25">
      <c r="B284" s="183"/>
      <c r="C284" s="179"/>
      <c r="D284" s="148" t="s">
        <v>20</v>
      </c>
      <c r="E284" s="163">
        <f>187.81*(ROUND(1.05,2))</f>
        <v>197.20050000000001</v>
      </c>
      <c r="F284" s="163">
        <f>187.81*(ROUND(1.05,2))</f>
        <v>197.20050000000001</v>
      </c>
      <c r="G284" s="163">
        <f>375.65*(ROUND(1.05,2))</f>
        <v>394.4325</v>
      </c>
      <c r="H284" s="163">
        <f>563.45*(ROUND(1.05,2))</f>
        <v>591.62250000000006</v>
      </c>
    </row>
    <row r="288" spans="2:9" ht="21" x14ac:dyDescent="0.35">
      <c r="B288" s="178" t="s">
        <v>629</v>
      </c>
      <c r="C288" s="178"/>
      <c r="D288" s="178"/>
      <c r="E288" s="178"/>
      <c r="F288" s="178"/>
      <c r="G288" s="178"/>
      <c r="H288" s="178"/>
      <c r="I288" s="178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144">
        <f>3530.34*(ROUND(1.05,2))</f>
        <v>3706.8570000000004</v>
      </c>
      <c r="D294" s="144">
        <f>1765.17*(ROUND(1.05,2))</f>
        <v>1853.4285000000002</v>
      </c>
      <c r="E294" s="156"/>
      <c r="F294" s="156"/>
      <c r="J294" s="15"/>
      <c r="K294" s="15"/>
      <c r="L294" s="15"/>
    </row>
    <row r="295" spans="2:12" x14ac:dyDescent="0.25">
      <c r="B295" s="2" t="s">
        <v>39</v>
      </c>
      <c r="C295" s="144">
        <f>5707.1*(ROUND(1.05,2))</f>
        <v>5992.4550000000008</v>
      </c>
      <c r="D295" s="144">
        <f>2853.55*(ROUND(1.05,2))</f>
        <v>2996.2275000000004</v>
      </c>
      <c r="E295" s="177"/>
      <c r="F295" s="177"/>
      <c r="J295" s="15"/>
      <c r="K295" s="15"/>
      <c r="L295" s="15"/>
    </row>
    <row r="296" spans="2:12" x14ac:dyDescent="0.25">
      <c r="B296" s="2" t="s">
        <v>40</v>
      </c>
      <c r="C296" s="144">
        <f>7092.34*(ROUND(1.05,2))</f>
        <v>7446.9570000000003</v>
      </c>
      <c r="D296" s="144">
        <f>3546.17*(ROUND(1.05,2))</f>
        <v>3723.4785000000002</v>
      </c>
      <c r="E296" s="177"/>
      <c r="F296" s="177"/>
      <c r="J296" s="15"/>
      <c r="K296" s="15"/>
      <c r="L296" s="15"/>
    </row>
    <row r="297" spans="2:12" x14ac:dyDescent="0.25">
      <c r="B297" s="2" t="s">
        <v>41</v>
      </c>
      <c r="C297" s="144">
        <f>8081.77*(ROUND(1.05,2))</f>
        <v>8485.8585000000003</v>
      </c>
      <c r="D297" s="168">
        <f>4040.88*(ROUND(1.05,2))</f>
        <v>4242.924</v>
      </c>
      <c r="E297" s="177"/>
      <c r="F297" s="177"/>
      <c r="J297" s="15"/>
      <c r="K297" s="15"/>
      <c r="L297" s="15"/>
    </row>
    <row r="298" spans="2:12" x14ac:dyDescent="0.25">
      <c r="B298" s="2" t="s">
        <v>42</v>
      </c>
      <c r="C298" s="144">
        <f>12039.53*(ROUND(1.05,2))</f>
        <v>12641.506500000001</v>
      </c>
      <c r="D298" s="168">
        <f>6019.77*(ROUND(1.05,2))-0.01</f>
        <v>6320.7485000000006</v>
      </c>
      <c r="E298" s="177"/>
      <c r="F298" s="177"/>
      <c r="J298" s="15"/>
      <c r="K298" s="15"/>
      <c r="L298" s="15"/>
    </row>
    <row r="299" spans="2:12" x14ac:dyDescent="0.25">
      <c r="B299" s="2" t="s">
        <v>43</v>
      </c>
      <c r="C299" s="144">
        <f>15420.25*(ROUND(1.05,2))</f>
        <v>16191.262500000001</v>
      </c>
      <c r="D299" s="168">
        <f>7710.12*(ROUND(1.05,2))</f>
        <v>8095.6260000000002</v>
      </c>
      <c r="E299" s="177"/>
      <c r="F299" s="177"/>
      <c r="J299" s="15"/>
      <c r="K299" s="15"/>
      <c r="L299" s="15"/>
    </row>
    <row r="300" spans="2:12" x14ac:dyDescent="0.25">
      <c r="B300" s="2" t="s">
        <v>44</v>
      </c>
      <c r="C300" s="144">
        <f>18259.16*(ROUND(1.05,2))</f>
        <v>19172.118000000002</v>
      </c>
      <c r="D300" s="168">
        <f>9129.58*(ROUND(1.05,2))</f>
        <v>9586.0590000000011</v>
      </c>
      <c r="E300" s="177"/>
      <c r="F300" s="177"/>
      <c r="J300" s="15"/>
      <c r="K300" s="15"/>
      <c r="L300" s="15"/>
    </row>
    <row r="301" spans="2:12" x14ac:dyDescent="0.25">
      <c r="B301" s="2" t="s">
        <v>45</v>
      </c>
      <c r="C301" s="144">
        <f>25538.8*(ROUND(1.05,2))</f>
        <v>26815.74</v>
      </c>
      <c r="D301" s="168">
        <f>12769.39*(ROUND(1.05,2))</f>
        <v>13407.8595</v>
      </c>
      <c r="E301" s="177"/>
      <c r="F301" s="177"/>
      <c r="J301" s="15"/>
      <c r="K301" s="15"/>
      <c r="L301" s="15"/>
    </row>
    <row r="302" spans="2:12" x14ac:dyDescent="0.25">
      <c r="B302" s="2" t="s">
        <v>605</v>
      </c>
      <c r="C302" s="144">
        <f>27631.2*(ROUND(1.05,2))</f>
        <v>29012.760000000002</v>
      </c>
      <c r="D302" s="168">
        <f>13815.59*(ROUND(1.05,2))+0.01</f>
        <v>14506.379500000001</v>
      </c>
      <c r="E302" s="177"/>
      <c r="F302" s="177"/>
      <c r="J302" s="15"/>
      <c r="K302" s="15"/>
      <c r="L302" s="15"/>
    </row>
  </sheetData>
  <mergeCells count="156">
    <mergeCell ref="B267:B284"/>
    <mergeCell ref="C267:C272"/>
    <mergeCell ref="C273:C278"/>
    <mergeCell ref="C279:C284"/>
    <mergeCell ref="B288:I288"/>
    <mergeCell ref="B243:B260"/>
    <mergeCell ref="C243:C248"/>
    <mergeCell ref="C249:C254"/>
    <mergeCell ref="C255:C260"/>
    <mergeCell ref="B264:H264"/>
    <mergeCell ref="B265:B266"/>
    <mergeCell ref="C265:C266"/>
    <mergeCell ref="D265:D266"/>
    <mergeCell ref="E265:H265"/>
    <mergeCell ref="B241:B242"/>
    <mergeCell ref="C241:C242"/>
    <mergeCell ref="D241:D242"/>
    <mergeCell ref="E241:H241"/>
    <mergeCell ref="B220:B221"/>
    <mergeCell ref="C220:C221"/>
    <mergeCell ref="D220:D221"/>
    <mergeCell ref="E220:H220"/>
    <mergeCell ref="C222:C227"/>
    <mergeCell ref="C228:C233"/>
    <mergeCell ref="C234:C239"/>
    <mergeCell ref="B222:B239"/>
    <mergeCell ref="B199:H199"/>
    <mergeCell ref="B200:B201"/>
    <mergeCell ref="C200:C201"/>
    <mergeCell ref="D200:D201"/>
    <mergeCell ref="E200:H200"/>
    <mergeCell ref="B202:B219"/>
    <mergeCell ref="C202:C207"/>
    <mergeCell ref="C208:C213"/>
    <mergeCell ref="C214:C219"/>
    <mergeCell ref="B165:C165"/>
    <mergeCell ref="B166:C166"/>
    <mergeCell ref="B167:C167"/>
    <mergeCell ref="B168:C168"/>
    <mergeCell ref="E174:G174"/>
    <mergeCell ref="B176:B193"/>
    <mergeCell ref="C176:C181"/>
    <mergeCell ref="C182:C187"/>
    <mergeCell ref="C188:C193"/>
    <mergeCell ref="B153:I153"/>
    <mergeCell ref="B159:C160"/>
    <mergeCell ref="B161:C161"/>
    <mergeCell ref="B162:C162"/>
    <mergeCell ref="B163:C163"/>
    <mergeCell ref="B164:C164"/>
    <mergeCell ref="B147:C147"/>
    <mergeCell ref="D147:G147"/>
    <mergeCell ref="H147:J147"/>
    <mergeCell ref="K147:N147"/>
    <mergeCell ref="B148:C148"/>
    <mergeCell ref="D148:G148"/>
    <mergeCell ref="H148:J148"/>
    <mergeCell ref="K148:N148"/>
    <mergeCell ref="B145:C145"/>
    <mergeCell ref="D145:G145"/>
    <mergeCell ref="H145:J145"/>
    <mergeCell ref="K145:N145"/>
    <mergeCell ref="B146:C146"/>
    <mergeCell ref="D146:G146"/>
    <mergeCell ref="H146:J146"/>
    <mergeCell ref="K146:N146"/>
    <mergeCell ref="B143:C143"/>
    <mergeCell ref="D143:G143"/>
    <mergeCell ref="H143:J143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B139:C139"/>
    <mergeCell ref="D139:G139"/>
    <mergeCell ref="H139:J139"/>
    <mergeCell ref="K139:N139"/>
    <mergeCell ref="B140:C140"/>
    <mergeCell ref="D140:G140"/>
    <mergeCell ref="H140:J140"/>
    <mergeCell ref="K140:N140"/>
    <mergeCell ref="B137:C137"/>
    <mergeCell ref="D137:G137"/>
    <mergeCell ref="H137:J137"/>
    <mergeCell ref="K137:N137"/>
    <mergeCell ref="B138:C138"/>
    <mergeCell ref="D138:G138"/>
    <mergeCell ref="H138:J138"/>
    <mergeCell ref="K138:N138"/>
    <mergeCell ref="B135:C135"/>
    <mergeCell ref="D135:G135"/>
    <mergeCell ref="H135:J135"/>
    <mergeCell ref="K135:N135"/>
    <mergeCell ref="B136:C136"/>
    <mergeCell ref="D136:G136"/>
    <mergeCell ref="H136:J136"/>
    <mergeCell ref="K136:N136"/>
    <mergeCell ref="B109:B114"/>
    <mergeCell ref="B115:B120"/>
    <mergeCell ref="B121:B126"/>
    <mergeCell ref="B130:N130"/>
    <mergeCell ref="B134:C134"/>
    <mergeCell ref="D134:G134"/>
    <mergeCell ref="H134:J134"/>
    <mergeCell ref="K134:N134"/>
    <mergeCell ref="B83:B88"/>
    <mergeCell ref="B89:B94"/>
    <mergeCell ref="B95:B100"/>
    <mergeCell ref="B103:G103"/>
    <mergeCell ref="B105:F105"/>
    <mergeCell ref="B106:C107"/>
    <mergeCell ref="D106:F106"/>
    <mergeCell ref="B58:B63"/>
    <mergeCell ref="B64:B69"/>
    <mergeCell ref="B70:B75"/>
    <mergeCell ref="B77:I77"/>
    <mergeCell ref="B79:G79"/>
    <mergeCell ref="B80:C81"/>
    <mergeCell ref="F80:G80"/>
    <mergeCell ref="B33:B38"/>
    <mergeCell ref="B39:B44"/>
    <mergeCell ref="B45:B50"/>
    <mergeCell ref="B52:I52"/>
    <mergeCell ref="B54:I54"/>
    <mergeCell ref="B55:C56"/>
    <mergeCell ref="F55:G55"/>
    <mergeCell ref="H55:I55"/>
    <mergeCell ref="B19:C19"/>
    <mergeCell ref="B24:I24"/>
    <mergeCell ref="B27:I27"/>
    <mergeCell ref="B29:I29"/>
    <mergeCell ref="B30:C31"/>
    <mergeCell ref="D30:F30"/>
    <mergeCell ref="G30:H30"/>
    <mergeCell ref="B12:D12"/>
    <mergeCell ref="B14:B15"/>
    <mergeCell ref="C14:E14"/>
    <mergeCell ref="C15:E15"/>
    <mergeCell ref="B16:D16"/>
    <mergeCell ref="B18:C18"/>
    <mergeCell ref="B2:I2"/>
    <mergeCell ref="B5:C5"/>
    <mergeCell ref="B6:C6"/>
    <mergeCell ref="B7:C7"/>
    <mergeCell ref="B10:B11"/>
    <mergeCell ref="C10:E10"/>
    <mergeCell ref="C11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021"/>
  <sheetViews>
    <sheetView topLeftCell="C1" workbookViewId="0">
      <selection activeCell="H1025" sqref="H1025"/>
    </sheetView>
  </sheetViews>
  <sheetFormatPr defaultRowHeight="15" x14ac:dyDescent="0.25"/>
  <cols>
    <col min="1" max="1" width="6" style="156" customWidth="1"/>
    <col min="2" max="2" width="32.42578125" style="156" customWidth="1"/>
    <col min="3" max="3" width="54" style="156" customWidth="1"/>
    <col min="4" max="4" width="10.85546875" style="156" customWidth="1"/>
    <col min="5" max="5" width="6.7109375" style="156" customWidth="1"/>
    <col min="6" max="6" width="32.42578125" style="156" bestFit="1" customWidth="1"/>
    <col min="7" max="7" width="18.85546875" style="156" customWidth="1"/>
    <col min="8" max="8" width="20.28515625" style="156" customWidth="1"/>
    <col min="9" max="16384" width="9.140625" style="156"/>
  </cols>
  <sheetData>
    <row r="1" spans="1:8" x14ac:dyDescent="0.25">
      <c r="A1" s="253" t="s">
        <v>139</v>
      </c>
      <c r="B1" s="254"/>
      <c r="C1" s="254"/>
      <c r="D1" s="254"/>
      <c r="E1" s="254"/>
      <c r="F1" s="254"/>
      <c r="G1" s="254"/>
      <c r="H1" s="254"/>
    </row>
    <row r="2" spans="1:8" x14ac:dyDescent="0.25">
      <c r="A2" s="157" t="s">
        <v>140</v>
      </c>
      <c r="B2" s="157" t="s">
        <v>689</v>
      </c>
      <c r="C2" s="157" t="s">
        <v>690</v>
      </c>
      <c r="D2" s="157" t="s">
        <v>104</v>
      </c>
      <c r="E2" s="157" t="s">
        <v>143</v>
      </c>
      <c r="F2" s="157" t="s">
        <v>691</v>
      </c>
      <c r="G2" s="157" t="s">
        <v>692</v>
      </c>
      <c r="H2" s="157" t="s">
        <v>693</v>
      </c>
    </row>
    <row r="3" spans="1:8" hidden="1" x14ac:dyDescent="0.25">
      <c r="A3" s="158">
        <v>1893</v>
      </c>
      <c r="B3" s="156" t="s">
        <v>694</v>
      </c>
      <c r="C3" s="156" t="s">
        <v>182</v>
      </c>
      <c r="D3" s="156" t="s">
        <v>14</v>
      </c>
      <c r="E3" s="156" t="s">
        <v>15</v>
      </c>
      <c r="F3" s="159">
        <v>38021</v>
      </c>
      <c r="G3" s="159">
        <v>76040</v>
      </c>
      <c r="H3" s="156" t="s">
        <v>695</v>
      </c>
    </row>
    <row r="4" spans="1:8" hidden="1" x14ac:dyDescent="0.25">
      <c r="A4" s="158">
        <v>1894</v>
      </c>
      <c r="B4" s="156" t="s">
        <v>694</v>
      </c>
      <c r="C4" s="156" t="s">
        <v>182</v>
      </c>
      <c r="D4" s="156" t="s">
        <v>14</v>
      </c>
      <c r="E4" s="156" t="s">
        <v>16</v>
      </c>
      <c r="F4" s="159">
        <v>38782</v>
      </c>
      <c r="G4" s="159">
        <v>77560</v>
      </c>
      <c r="H4" s="156" t="s">
        <v>696</v>
      </c>
    </row>
    <row r="5" spans="1:8" hidden="1" x14ac:dyDescent="0.25">
      <c r="A5" s="158">
        <v>1895</v>
      </c>
      <c r="B5" s="156" t="s">
        <v>694</v>
      </c>
      <c r="C5" s="156" t="s">
        <v>182</v>
      </c>
      <c r="D5" s="156" t="s">
        <v>14</v>
      </c>
      <c r="E5" s="156" t="s">
        <v>17</v>
      </c>
      <c r="F5" s="159">
        <v>39557</v>
      </c>
      <c r="G5" s="159">
        <v>79112</v>
      </c>
      <c r="H5" s="156" t="s">
        <v>697</v>
      </c>
    </row>
    <row r="6" spans="1:8" hidden="1" x14ac:dyDescent="0.25">
      <c r="A6" s="158">
        <v>1896</v>
      </c>
      <c r="B6" s="156" t="s">
        <v>694</v>
      </c>
      <c r="C6" s="156" t="s">
        <v>182</v>
      </c>
      <c r="D6" s="156" t="s">
        <v>14</v>
      </c>
      <c r="E6" s="156" t="s">
        <v>18</v>
      </c>
      <c r="F6" s="159">
        <v>40347</v>
      </c>
      <c r="G6" s="159">
        <v>80695</v>
      </c>
      <c r="H6" s="156" t="s">
        <v>698</v>
      </c>
    </row>
    <row r="7" spans="1:8" hidden="1" x14ac:dyDescent="0.25">
      <c r="A7" s="158">
        <v>1897</v>
      </c>
      <c r="B7" s="156" t="s">
        <v>694</v>
      </c>
      <c r="C7" s="156" t="s">
        <v>182</v>
      </c>
      <c r="D7" s="156" t="s">
        <v>14</v>
      </c>
      <c r="E7" s="156" t="s">
        <v>19</v>
      </c>
      <c r="F7" s="159">
        <v>41155</v>
      </c>
      <c r="G7" s="159">
        <v>82310</v>
      </c>
      <c r="H7" s="156" t="s">
        <v>699</v>
      </c>
    </row>
    <row r="8" spans="1:8" hidden="1" x14ac:dyDescent="0.25">
      <c r="A8" s="158">
        <v>1898</v>
      </c>
      <c r="B8" s="156" t="s">
        <v>694</v>
      </c>
      <c r="C8" s="156" t="s">
        <v>182</v>
      </c>
      <c r="D8" s="156" t="s">
        <v>14</v>
      </c>
      <c r="E8" s="156" t="s">
        <v>20</v>
      </c>
      <c r="F8" s="159">
        <v>41976</v>
      </c>
      <c r="G8" s="159">
        <v>83955</v>
      </c>
      <c r="H8" s="156" t="s">
        <v>700</v>
      </c>
    </row>
    <row r="9" spans="1:8" hidden="1" x14ac:dyDescent="0.25">
      <c r="A9" s="158">
        <v>1899</v>
      </c>
      <c r="B9" s="156" t="s">
        <v>694</v>
      </c>
      <c r="C9" s="156" t="s">
        <v>182</v>
      </c>
      <c r="D9" s="156" t="s">
        <v>21</v>
      </c>
      <c r="E9" s="156" t="s">
        <v>15</v>
      </c>
      <c r="F9" s="159">
        <v>42817</v>
      </c>
      <c r="G9" s="159">
        <v>85635</v>
      </c>
      <c r="H9" s="156" t="s">
        <v>701</v>
      </c>
    </row>
    <row r="10" spans="1:8" hidden="1" x14ac:dyDescent="0.25">
      <c r="A10" s="158">
        <v>1900</v>
      </c>
      <c r="B10" s="156" t="s">
        <v>694</v>
      </c>
      <c r="C10" s="156" t="s">
        <v>182</v>
      </c>
      <c r="D10" s="156" t="s">
        <v>21</v>
      </c>
      <c r="E10" s="156" t="s">
        <v>16</v>
      </c>
      <c r="F10" s="159">
        <v>43674</v>
      </c>
      <c r="G10" s="159">
        <v>87347</v>
      </c>
      <c r="H10" s="156" t="s">
        <v>702</v>
      </c>
    </row>
    <row r="11" spans="1:8" hidden="1" x14ac:dyDescent="0.25">
      <c r="A11" s="158">
        <v>1901</v>
      </c>
      <c r="B11" s="156" t="s">
        <v>694</v>
      </c>
      <c r="C11" s="156" t="s">
        <v>182</v>
      </c>
      <c r="D11" s="156" t="s">
        <v>21</v>
      </c>
      <c r="E11" s="156" t="s">
        <v>17</v>
      </c>
      <c r="F11" s="159">
        <v>44545</v>
      </c>
      <c r="G11" s="159">
        <v>89095</v>
      </c>
      <c r="H11" s="156" t="s">
        <v>703</v>
      </c>
    </row>
    <row r="12" spans="1:8" hidden="1" x14ac:dyDescent="0.25">
      <c r="A12" s="158">
        <v>1902</v>
      </c>
      <c r="B12" s="156" t="s">
        <v>694</v>
      </c>
      <c r="C12" s="156" t="s">
        <v>182</v>
      </c>
      <c r="D12" s="156" t="s">
        <v>21</v>
      </c>
      <c r="E12" s="156" t="s">
        <v>18</v>
      </c>
      <c r="F12" s="159">
        <v>45439</v>
      </c>
      <c r="G12" s="159">
        <v>90875</v>
      </c>
      <c r="H12" s="156" t="s">
        <v>704</v>
      </c>
    </row>
    <row r="13" spans="1:8" hidden="1" x14ac:dyDescent="0.25">
      <c r="A13" s="158">
        <v>1903</v>
      </c>
      <c r="B13" s="156" t="s">
        <v>694</v>
      </c>
      <c r="C13" s="156" t="s">
        <v>182</v>
      </c>
      <c r="D13" s="156" t="s">
        <v>21</v>
      </c>
      <c r="E13" s="156" t="s">
        <v>19</v>
      </c>
      <c r="F13" s="159">
        <v>46347</v>
      </c>
      <c r="G13" s="159">
        <v>92692</v>
      </c>
      <c r="H13" s="156" t="s">
        <v>705</v>
      </c>
    </row>
    <row r="14" spans="1:8" hidden="1" x14ac:dyDescent="0.25">
      <c r="A14" s="158">
        <v>1904</v>
      </c>
      <c r="B14" s="156" t="s">
        <v>694</v>
      </c>
      <c r="C14" s="156" t="s">
        <v>182</v>
      </c>
      <c r="D14" s="156" t="s">
        <v>21</v>
      </c>
      <c r="E14" s="156" t="s">
        <v>20</v>
      </c>
      <c r="F14" s="159">
        <v>47273</v>
      </c>
      <c r="G14" s="159">
        <v>94546</v>
      </c>
      <c r="H14" s="156" t="s">
        <v>706</v>
      </c>
    </row>
    <row r="15" spans="1:8" hidden="1" x14ac:dyDescent="0.25">
      <c r="A15" s="158">
        <v>1905</v>
      </c>
      <c r="B15" s="156" t="s">
        <v>694</v>
      </c>
      <c r="C15" s="156" t="s">
        <v>182</v>
      </c>
      <c r="D15" s="156" t="s">
        <v>203</v>
      </c>
      <c r="E15" s="156" t="s">
        <v>15</v>
      </c>
      <c r="F15" s="159">
        <v>48218</v>
      </c>
      <c r="G15" s="159">
        <v>96437</v>
      </c>
      <c r="H15" s="156" t="s">
        <v>707</v>
      </c>
    </row>
    <row r="16" spans="1:8" hidden="1" x14ac:dyDescent="0.25">
      <c r="A16" s="158">
        <v>1906</v>
      </c>
      <c r="B16" s="156" t="s">
        <v>694</v>
      </c>
      <c r="C16" s="156" t="s">
        <v>182</v>
      </c>
      <c r="D16" s="156" t="s">
        <v>203</v>
      </c>
      <c r="E16" s="156" t="s">
        <v>16</v>
      </c>
      <c r="F16" s="159">
        <v>49182</v>
      </c>
      <c r="G16" s="159">
        <v>98366</v>
      </c>
      <c r="H16" s="156" t="s">
        <v>708</v>
      </c>
    </row>
    <row r="17" spans="1:8" hidden="1" x14ac:dyDescent="0.25">
      <c r="A17" s="158">
        <v>1907</v>
      </c>
      <c r="B17" s="156" t="s">
        <v>694</v>
      </c>
      <c r="C17" s="156" t="s">
        <v>182</v>
      </c>
      <c r="D17" s="156" t="s">
        <v>203</v>
      </c>
      <c r="E17" s="156" t="s">
        <v>17</v>
      </c>
      <c r="F17" s="159">
        <v>50167</v>
      </c>
      <c r="G17" s="156" t="s">
        <v>709</v>
      </c>
      <c r="H17" s="156" t="s">
        <v>710</v>
      </c>
    </row>
    <row r="18" spans="1:8" hidden="1" x14ac:dyDescent="0.25">
      <c r="A18" s="158">
        <v>1908</v>
      </c>
      <c r="B18" s="156" t="s">
        <v>694</v>
      </c>
      <c r="C18" s="156" t="s">
        <v>182</v>
      </c>
      <c r="D18" s="156" t="s">
        <v>203</v>
      </c>
      <c r="E18" s="156" t="s">
        <v>18</v>
      </c>
      <c r="F18" s="159">
        <v>51170</v>
      </c>
      <c r="G18" s="156" t="s">
        <v>711</v>
      </c>
      <c r="H18" s="156" t="s">
        <v>712</v>
      </c>
    </row>
    <row r="19" spans="1:8" hidden="1" x14ac:dyDescent="0.25">
      <c r="A19" s="158">
        <v>1909</v>
      </c>
      <c r="B19" s="156" t="s">
        <v>694</v>
      </c>
      <c r="C19" s="156" t="s">
        <v>182</v>
      </c>
      <c r="D19" s="156" t="s">
        <v>203</v>
      </c>
      <c r="E19" s="156" t="s">
        <v>19</v>
      </c>
      <c r="F19" s="159">
        <v>52192</v>
      </c>
      <c r="G19" s="156" t="s">
        <v>713</v>
      </c>
      <c r="H19" s="156" t="s">
        <v>714</v>
      </c>
    </row>
    <row r="20" spans="1:8" hidden="1" x14ac:dyDescent="0.25">
      <c r="A20" s="158">
        <v>1910</v>
      </c>
      <c r="B20" s="156" t="s">
        <v>694</v>
      </c>
      <c r="C20" s="156" t="s">
        <v>182</v>
      </c>
      <c r="D20" s="156" t="s">
        <v>203</v>
      </c>
      <c r="E20" s="156" t="s">
        <v>20</v>
      </c>
      <c r="F20" s="159">
        <v>53237</v>
      </c>
      <c r="G20" s="156" t="s">
        <v>715</v>
      </c>
      <c r="H20" s="156" t="s">
        <v>716</v>
      </c>
    </row>
    <row r="21" spans="1:8" hidden="1" x14ac:dyDescent="0.25">
      <c r="A21" s="158">
        <v>1911</v>
      </c>
      <c r="B21" s="156" t="s">
        <v>694</v>
      </c>
      <c r="C21" s="156" t="s">
        <v>287</v>
      </c>
      <c r="D21" s="156" t="s">
        <v>14</v>
      </c>
      <c r="E21" s="156" t="s">
        <v>15</v>
      </c>
      <c r="F21" s="159">
        <v>38021</v>
      </c>
      <c r="G21" s="159">
        <v>76040</v>
      </c>
      <c r="H21" s="156" t="s">
        <v>695</v>
      </c>
    </row>
    <row r="22" spans="1:8" hidden="1" x14ac:dyDescent="0.25">
      <c r="A22" s="158">
        <v>1912</v>
      </c>
      <c r="B22" s="156" t="s">
        <v>694</v>
      </c>
      <c r="C22" s="156" t="s">
        <v>287</v>
      </c>
      <c r="D22" s="156" t="s">
        <v>14</v>
      </c>
      <c r="E22" s="156" t="s">
        <v>16</v>
      </c>
      <c r="F22" s="159">
        <v>38782</v>
      </c>
      <c r="G22" s="159">
        <v>77560</v>
      </c>
      <c r="H22" s="156" t="s">
        <v>696</v>
      </c>
    </row>
    <row r="23" spans="1:8" hidden="1" x14ac:dyDescent="0.25">
      <c r="A23" s="158">
        <v>1913</v>
      </c>
      <c r="B23" s="156" t="s">
        <v>694</v>
      </c>
      <c r="C23" s="156" t="s">
        <v>287</v>
      </c>
      <c r="D23" s="156" t="s">
        <v>14</v>
      </c>
      <c r="E23" s="156" t="s">
        <v>17</v>
      </c>
      <c r="F23" s="159">
        <v>39557</v>
      </c>
      <c r="G23" s="159">
        <v>79112</v>
      </c>
      <c r="H23" s="156" t="s">
        <v>697</v>
      </c>
    </row>
    <row r="24" spans="1:8" hidden="1" x14ac:dyDescent="0.25">
      <c r="A24" s="158">
        <v>1914</v>
      </c>
      <c r="B24" s="156" t="s">
        <v>694</v>
      </c>
      <c r="C24" s="156" t="s">
        <v>287</v>
      </c>
      <c r="D24" s="156" t="s">
        <v>14</v>
      </c>
      <c r="E24" s="156" t="s">
        <v>18</v>
      </c>
      <c r="F24" s="159">
        <v>40347</v>
      </c>
      <c r="G24" s="159">
        <v>80695</v>
      </c>
      <c r="H24" s="156" t="s">
        <v>698</v>
      </c>
    </row>
    <row r="25" spans="1:8" hidden="1" x14ac:dyDescent="0.25">
      <c r="A25" s="158">
        <v>1915</v>
      </c>
      <c r="B25" s="156" t="s">
        <v>694</v>
      </c>
      <c r="C25" s="156" t="s">
        <v>287</v>
      </c>
      <c r="D25" s="156" t="s">
        <v>14</v>
      </c>
      <c r="E25" s="156" t="s">
        <v>19</v>
      </c>
      <c r="F25" s="159">
        <v>41155</v>
      </c>
      <c r="G25" s="159">
        <v>82310</v>
      </c>
      <c r="H25" s="156" t="s">
        <v>699</v>
      </c>
    </row>
    <row r="26" spans="1:8" hidden="1" x14ac:dyDescent="0.25">
      <c r="A26" s="158">
        <v>1916</v>
      </c>
      <c r="B26" s="156" t="s">
        <v>694</v>
      </c>
      <c r="C26" s="156" t="s">
        <v>287</v>
      </c>
      <c r="D26" s="156" t="s">
        <v>14</v>
      </c>
      <c r="E26" s="156" t="s">
        <v>20</v>
      </c>
      <c r="F26" s="159">
        <v>41976</v>
      </c>
      <c r="G26" s="159">
        <v>83955</v>
      </c>
      <c r="H26" s="156" t="s">
        <v>700</v>
      </c>
    </row>
    <row r="27" spans="1:8" hidden="1" x14ac:dyDescent="0.25">
      <c r="A27" s="158">
        <v>1917</v>
      </c>
      <c r="B27" s="156" t="s">
        <v>694</v>
      </c>
      <c r="C27" s="156" t="s">
        <v>287</v>
      </c>
      <c r="D27" s="156" t="s">
        <v>21</v>
      </c>
      <c r="E27" s="156" t="s">
        <v>15</v>
      </c>
      <c r="F27" s="159">
        <v>42817</v>
      </c>
      <c r="G27" s="159">
        <v>85635</v>
      </c>
      <c r="H27" s="156" t="s">
        <v>701</v>
      </c>
    </row>
    <row r="28" spans="1:8" hidden="1" x14ac:dyDescent="0.25">
      <c r="A28" s="158">
        <v>1918</v>
      </c>
      <c r="B28" s="156" t="s">
        <v>694</v>
      </c>
      <c r="C28" s="156" t="s">
        <v>287</v>
      </c>
      <c r="D28" s="156" t="s">
        <v>21</v>
      </c>
      <c r="E28" s="156" t="s">
        <v>16</v>
      </c>
      <c r="F28" s="159">
        <v>43674</v>
      </c>
      <c r="G28" s="159">
        <v>87347</v>
      </c>
      <c r="H28" s="156" t="s">
        <v>702</v>
      </c>
    </row>
    <row r="29" spans="1:8" hidden="1" x14ac:dyDescent="0.25">
      <c r="A29" s="158">
        <v>1919</v>
      </c>
      <c r="B29" s="156" t="s">
        <v>694</v>
      </c>
      <c r="C29" s="156" t="s">
        <v>287</v>
      </c>
      <c r="D29" s="156" t="s">
        <v>21</v>
      </c>
      <c r="E29" s="156" t="s">
        <v>17</v>
      </c>
      <c r="F29" s="159">
        <v>44545</v>
      </c>
      <c r="G29" s="159">
        <v>89095</v>
      </c>
      <c r="H29" s="156" t="s">
        <v>703</v>
      </c>
    </row>
    <row r="30" spans="1:8" hidden="1" x14ac:dyDescent="0.25">
      <c r="A30" s="158">
        <v>1920</v>
      </c>
      <c r="B30" s="156" t="s">
        <v>694</v>
      </c>
      <c r="C30" s="156" t="s">
        <v>287</v>
      </c>
      <c r="D30" s="156" t="s">
        <v>21</v>
      </c>
      <c r="E30" s="156" t="s">
        <v>18</v>
      </c>
      <c r="F30" s="159">
        <v>45439</v>
      </c>
      <c r="G30" s="159">
        <v>90875</v>
      </c>
      <c r="H30" s="156" t="s">
        <v>704</v>
      </c>
    </row>
    <row r="31" spans="1:8" hidden="1" x14ac:dyDescent="0.25">
      <c r="A31" s="158">
        <v>1921</v>
      </c>
      <c r="B31" s="156" t="s">
        <v>694</v>
      </c>
      <c r="C31" s="156" t="s">
        <v>287</v>
      </c>
      <c r="D31" s="156" t="s">
        <v>21</v>
      </c>
      <c r="E31" s="156" t="s">
        <v>19</v>
      </c>
      <c r="F31" s="159">
        <v>46347</v>
      </c>
      <c r="G31" s="159">
        <v>92692</v>
      </c>
      <c r="H31" s="156" t="s">
        <v>705</v>
      </c>
    </row>
    <row r="32" spans="1:8" hidden="1" x14ac:dyDescent="0.25">
      <c r="A32" s="158">
        <v>1922</v>
      </c>
      <c r="B32" s="156" t="s">
        <v>694</v>
      </c>
      <c r="C32" s="156" t="s">
        <v>287</v>
      </c>
      <c r="D32" s="156" t="s">
        <v>21</v>
      </c>
      <c r="E32" s="156" t="s">
        <v>20</v>
      </c>
      <c r="F32" s="159">
        <v>47273</v>
      </c>
      <c r="G32" s="159">
        <v>94546</v>
      </c>
      <c r="H32" s="156" t="s">
        <v>706</v>
      </c>
    </row>
    <row r="33" spans="1:8" hidden="1" x14ac:dyDescent="0.25">
      <c r="A33" s="158">
        <v>1923</v>
      </c>
      <c r="B33" s="156" t="s">
        <v>694</v>
      </c>
      <c r="C33" s="156" t="s">
        <v>287</v>
      </c>
      <c r="D33" s="156" t="s">
        <v>203</v>
      </c>
      <c r="E33" s="156" t="s">
        <v>15</v>
      </c>
      <c r="F33" s="159">
        <v>48218</v>
      </c>
      <c r="G33" s="159">
        <v>96437</v>
      </c>
      <c r="H33" s="156" t="s">
        <v>707</v>
      </c>
    </row>
    <row r="34" spans="1:8" hidden="1" x14ac:dyDescent="0.25">
      <c r="A34" s="158">
        <v>1924</v>
      </c>
      <c r="B34" s="156" t="s">
        <v>694</v>
      </c>
      <c r="C34" s="156" t="s">
        <v>287</v>
      </c>
      <c r="D34" s="156" t="s">
        <v>203</v>
      </c>
      <c r="E34" s="156" t="s">
        <v>16</v>
      </c>
      <c r="F34" s="159">
        <v>49182</v>
      </c>
      <c r="G34" s="159">
        <v>98366</v>
      </c>
      <c r="H34" s="156" t="s">
        <v>708</v>
      </c>
    </row>
    <row r="35" spans="1:8" hidden="1" x14ac:dyDescent="0.25">
      <c r="A35" s="158">
        <v>1925</v>
      </c>
      <c r="B35" s="156" t="s">
        <v>694</v>
      </c>
      <c r="C35" s="156" t="s">
        <v>287</v>
      </c>
      <c r="D35" s="156" t="s">
        <v>203</v>
      </c>
      <c r="E35" s="156" t="s">
        <v>17</v>
      </c>
      <c r="F35" s="159">
        <v>50167</v>
      </c>
      <c r="G35" s="156" t="s">
        <v>709</v>
      </c>
      <c r="H35" s="156" t="s">
        <v>710</v>
      </c>
    </row>
    <row r="36" spans="1:8" hidden="1" x14ac:dyDescent="0.25">
      <c r="A36" s="158">
        <v>1926</v>
      </c>
      <c r="B36" s="156" t="s">
        <v>694</v>
      </c>
      <c r="C36" s="156" t="s">
        <v>287</v>
      </c>
      <c r="D36" s="156" t="s">
        <v>203</v>
      </c>
      <c r="E36" s="156" t="s">
        <v>18</v>
      </c>
      <c r="F36" s="159">
        <v>51170</v>
      </c>
      <c r="G36" s="156" t="s">
        <v>711</v>
      </c>
      <c r="H36" s="156" t="s">
        <v>712</v>
      </c>
    </row>
    <row r="37" spans="1:8" hidden="1" x14ac:dyDescent="0.25">
      <c r="A37" s="158">
        <v>1927</v>
      </c>
      <c r="B37" s="156" t="s">
        <v>694</v>
      </c>
      <c r="C37" s="156" t="s">
        <v>287</v>
      </c>
      <c r="D37" s="156" t="s">
        <v>203</v>
      </c>
      <c r="E37" s="156" t="s">
        <v>19</v>
      </c>
      <c r="F37" s="159">
        <v>52192</v>
      </c>
      <c r="G37" s="156" t="s">
        <v>713</v>
      </c>
      <c r="H37" s="156" t="s">
        <v>714</v>
      </c>
    </row>
    <row r="38" spans="1:8" hidden="1" x14ac:dyDescent="0.25">
      <c r="A38" s="158">
        <v>1928</v>
      </c>
      <c r="B38" s="156" t="s">
        <v>694</v>
      </c>
      <c r="C38" s="156" t="s">
        <v>287</v>
      </c>
      <c r="D38" s="156" t="s">
        <v>203</v>
      </c>
      <c r="E38" s="156" t="s">
        <v>20</v>
      </c>
      <c r="F38" s="159">
        <v>53237</v>
      </c>
      <c r="G38" s="156" t="s">
        <v>715</v>
      </c>
      <c r="H38" s="156" t="s">
        <v>716</v>
      </c>
    </row>
    <row r="39" spans="1:8" hidden="1" x14ac:dyDescent="0.25">
      <c r="A39" s="158">
        <v>1929</v>
      </c>
      <c r="B39" s="156" t="s">
        <v>694</v>
      </c>
      <c r="C39" s="156" t="s">
        <v>290</v>
      </c>
      <c r="D39" s="156" t="s">
        <v>14</v>
      </c>
      <c r="E39" s="156" t="s">
        <v>15</v>
      </c>
      <c r="F39" s="159">
        <v>38021</v>
      </c>
      <c r="G39" s="159">
        <v>76040</v>
      </c>
      <c r="H39" s="156" t="s">
        <v>695</v>
      </c>
    </row>
    <row r="40" spans="1:8" hidden="1" x14ac:dyDescent="0.25">
      <c r="A40" s="158">
        <v>1930</v>
      </c>
      <c r="B40" s="156" t="s">
        <v>694</v>
      </c>
      <c r="C40" s="156" t="s">
        <v>290</v>
      </c>
      <c r="D40" s="156" t="s">
        <v>14</v>
      </c>
      <c r="E40" s="156" t="s">
        <v>16</v>
      </c>
      <c r="F40" s="159">
        <v>38782</v>
      </c>
      <c r="G40" s="159">
        <v>77560</v>
      </c>
      <c r="H40" s="156" t="s">
        <v>696</v>
      </c>
    </row>
    <row r="41" spans="1:8" hidden="1" x14ac:dyDescent="0.25">
      <c r="A41" s="158">
        <v>1931</v>
      </c>
      <c r="B41" s="156" t="s">
        <v>694</v>
      </c>
      <c r="C41" s="156" t="s">
        <v>290</v>
      </c>
      <c r="D41" s="156" t="s">
        <v>14</v>
      </c>
      <c r="E41" s="156" t="s">
        <v>17</v>
      </c>
      <c r="F41" s="159">
        <v>39557</v>
      </c>
      <c r="G41" s="159">
        <v>79112</v>
      </c>
      <c r="H41" s="156" t="s">
        <v>697</v>
      </c>
    </row>
    <row r="42" spans="1:8" hidden="1" x14ac:dyDescent="0.25">
      <c r="A42" s="158">
        <v>1932</v>
      </c>
      <c r="B42" s="156" t="s">
        <v>694</v>
      </c>
      <c r="C42" s="156" t="s">
        <v>290</v>
      </c>
      <c r="D42" s="156" t="s">
        <v>14</v>
      </c>
      <c r="E42" s="156" t="s">
        <v>18</v>
      </c>
      <c r="F42" s="159">
        <v>40347</v>
      </c>
      <c r="G42" s="159">
        <v>80695</v>
      </c>
      <c r="H42" s="156" t="s">
        <v>698</v>
      </c>
    </row>
    <row r="43" spans="1:8" hidden="1" x14ac:dyDescent="0.25">
      <c r="A43" s="158">
        <v>1933</v>
      </c>
      <c r="B43" s="156" t="s">
        <v>694</v>
      </c>
      <c r="C43" s="156" t="s">
        <v>290</v>
      </c>
      <c r="D43" s="156" t="s">
        <v>14</v>
      </c>
      <c r="E43" s="156" t="s">
        <v>19</v>
      </c>
      <c r="F43" s="159">
        <v>41155</v>
      </c>
      <c r="G43" s="159">
        <v>82310</v>
      </c>
      <c r="H43" s="156" t="s">
        <v>699</v>
      </c>
    </row>
    <row r="44" spans="1:8" hidden="1" x14ac:dyDescent="0.25">
      <c r="A44" s="158">
        <v>1934</v>
      </c>
      <c r="B44" s="156" t="s">
        <v>694</v>
      </c>
      <c r="C44" s="156" t="s">
        <v>290</v>
      </c>
      <c r="D44" s="156" t="s">
        <v>14</v>
      </c>
      <c r="E44" s="156" t="s">
        <v>20</v>
      </c>
      <c r="F44" s="159">
        <v>41976</v>
      </c>
      <c r="G44" s="159">
        <v>83955</v>
      </c>
      <c r="H44" s="156" t="s">
        <v>700</v>
      </c>
    </row>
    <row r="45" spans="1:8" hidden="1" x14ac:dyDescent="0.25">
      <c r="A45" s="158">
        <v>1935</v>
      </c>
      <c r="B45" s="156" t="s">
        <v>694</v>
      </c>
      <c r="C45" s="156" t="s">
        <v>290</v>
      </c>
      <c r="D45" s="156" t="s">
        <v>21</v>
      </c>
      <c r="E45" s="156" t="s">
        <v>15</v>
      </c>
      <c r="F45" s="159">
        <v>42817</v>
      </c>
      <c r="G45" s="159">
        <v>85635</v>
      </c>
      <c r="H45" s="156" t="s">
        <v>701</v>
      </c>
    </row>
    <row r="46" spans="1:8" hidden="1" x14ac:dyDescent="0.25">
      <c r="A46" s="158">
        <v>1936</v>
      </c>
      <c r="B46" s="156" t="s">
        <v>694</v>
      </c>
      <c r="C46" s="156" t="s">
        <v>290</v>
      </c>
      <c r="D46" s="156" t="s">
        <v>21</v>
      </c>
      <c r="E46" s="156" t="s">
        <v>16</v>
      </c>
      <c r="F46" s="159">
        <v>43674</v>
      </c>
      <c r="G46" s="159">
        <v>87347</v>
      </c>
      <c r="H46" s="156" t="s">
        <v>702</v>
      </c>
    </row>
    <row r="47" spans="1:8" hidden="1" x14ac:dyDescent="0.25">
      <c r="A47" s="158">
        <v>1937</v>
      </c>
      <c r="B47" s="156" t="s">
        <v>694</v>
      </c>
      <c r="C47" s="156" t="s">
        <v>290</v>
      </c>
      <c r="D47" s="156" t="s">
        <v>21</v>
      </c>
      <c r="E47" s="156" t="s">
        <v>17</v>
      </c>
      <c r="F47" s="159">
        <v>44545</v>
      </c>
      <c r="G47" s="159">
        <v>89095</v>
      </c>
      <c r="H47" s="156" t="s">
        <v>703</v>
      </c>
    </row>
    <row r="48" spans="1:8" hidden="1" x14ac:dyDescent="0.25">
      <c r="A48" s="158">
        <v>1938</v>
      </c>
      <c r="B48" s="156" t="s">
        <v>694</v>
      </c>
      <c r="C48" s="156" t="s">
        <v>290</v>
      </c>
      <c r="D48" s="156" t="s">
        <v>21</v>
      </c>
      <c r="E48" s="156" t="s">
        <v>18</v>
      </c>
      <c r="F48" s="159">
        <v>45439</v>
      </c>
      <c r="G48" s="159">
        <v>90875</v>
      </c>
      <c r="H48" s="156" t="s">
        <v>704</v>
      </c>
    </row>
    <row r="49" spans="1:8" hidden="1" x14ac:dyDescent="0.25">
      <c r="A49" s="158">
        <v>1939</v>
      </c>
      <c r="B49" s="156" t="s">
        <v>694</v>
      </c>
      <c r="C49" s="156" t="s">
        <v>290</v>
      </c>
      <c r="D49" s="156" t="s">
        <v>21</v>
      </c>
      <c r="E49" s="156" t="s">
        <v>19</v>
      </c>
      <c r="F49" s="159">
        <v>46347</v>
      </c>
      <c r="G49" s="159">
        <v>92692</v>
      </c>
      <c r="H49" s="156" t="s">
        <v>705</v>
      </c>
    </row>
    <row r="50" spans="1:8" hidden="1" x14ac:dyDescent="0.25">
      <c r="A50" s="158">
        <v>1940</v>
      </c>
      <c r="B50" s="156" t="s">
        <v>694</v>
      </c>
      <c r="C50" s="156" t="s">
        <v>290</v>
      </c>
      <c r="D50" s="156" t="s">
        <v>21</v>
      </c>
      <c r="E50" s="156" t="s">
        <v>20</v>
      </c>
      <c r="F50" s="159">
        <v>47273</v>
      </c>
      <c r="G50" s="159">
        <v>94546</v>
      </c>
      <c r="H50" s="156" t="s">
        <v>706</v>
      </c>
    </row>
    <row r="51" spans="1:8" hidden="1" x14ac:dyDescent="0.25">
      <c r="A51" s="158">
        <v>1941</v>
      </c>
      <c r="B51" s="156" t="s">
        <v>694</v>
      </c>
      <c r="C51" s="156" t="s">
        <v>290</v>
      </c>
      <c r="D51" s="156" t="s">
        <v>203</v>
      </c>
      <c r="E51" s="156" t="s">
        <v>15</v>
      </c>
      <c r="F51" s="159">
        <v>48218</v>
      </c>
      <c r="G51" s="159">
        <v>96437</v>
      </c>
      <c r="H51" s="156" t="s">
        <v>707</v>
      </c>
    </row>
    <row r="52" spans="1:8" hidden="1" x14ac:dyDescent="0.25">
      <c r="A52" s="158">
        <v>1942</v>
      </c>
      <c r="B52" s="156" t="s">
        <v>694</v>
      </c>
      <c r="C52" s="156" t="s">
        <v>290</v>
      </c>
      <c r="D52" s="156" t="s">
        <v>203</v>
      </c>
      <c r="E52" s="156" t="s">
        <v>16</v>
      </c>
      <c r="F52" s="159">
        <v>49182</v>
      </c>
      <c r="G52" s="159">
        <v>98366</v>
      </c>
      <c r="H52" s="156" t="s">
        <v>708</v>
      </c>
    </row>
    <row r="53" spans="1:8" hidden="1" x14ac:dyDescent="0.25">
      <c r="A53" s="158">
        <v>1943</v>
      </c>
      <c r="B53" s="156" t="s">
        <v>694</v>
      </c>
      <c r="C53" s="156" t="s">
        <v>290</v>
      </c>
      <c r="D53" s="156" t="s">
        <v>203</v>
      </c>
      <c r="E53" s="156" t="s">
        <v>17</v>
      </c>
      <c r="F53" s="159">
        <v>50167</v>
      </c>
      <c r="G53" s="156" t="s">
        <v>709</v>
      </c>
      <c r="H53" s="156" t="s">
        <v>710</v>
      </c>
    </row>
    <row r="54" spans="1:8" hidden="1" x14ac:dyDescent="0.25">
      <c r="A54" s="158">
        <v>1944</v>
      </c>
      <c r="B54" s="156" t="s">
        <v>694</v>
      </c>
      <c r="C54" s="156" t="s">
        <v>290</v>
      </c>
      <c r="D54" s="156" t="s">
        <v>203</v>
      </c>
      <c r="E54" s="156" t="s">
        <v>18</v>
      </c>
      <c r="F54" s="159">
        <v>51170</v>
      </c>
      <c r="G54" s="156" t="s">
        <v>711</v>
      </c>
      <c r="H54" s="156" t="s">
        <v>712</v>
      </c>
    </row>
    <row r="55" spans="1:8" hidden="1" x14ac:dyDescent="0.25">
      <c r="A55" s="158">
        <v>1945</v>
      </c>
      <c r="B55" s="156" t="s">
        <v>694</v>
      </c>
      <c r="C55" s="156" t="s">
        <v>290</v>
      </c>
      <c r="D55" s="156" t="s">
        <v>203</v>
      </c>
      <c r="E55" s="156" t="s">
        <v>19</v>
      </c>
      <c r="F55" s="159">
        <v>52192</v>
      </c>
      <c r="G55" s="156" t="s">
        <v>713</v>
      </c>
      <c r="H55" s="156" t="s">
        <v>714</v>
      </c>
    </row>
    <row r="56" spans="1:8" hidden="1" x14ac:dyDescent="0.25">
      <c r="A56" s="158">
        <v>1946</v>
      </c>
      <c r="B56" s="156" t="s">
        <v>694</v>
      </c>
      <c r="C56" s="156" t="s">
        <v>290</v>
      </c>
      <c r="D56" s="156" t="s">
        <v>203</v>
      </c>
      <c r="E56" s="156" t="s">
        <v>20</v>
      </c>
      <c r="F56" s="159">
        <v>53237</v>
      </c>
      <c r="G56" s="156" t="s">
        <v>715</v>
      </c>
      <c r="H56" s="156" t="s">
        <v>716</v>
      </c>
    </row>
    <row r="57" spans="1:8" hidden="1" x14ac:dyDescent="0.25">
      <c r="A57" s="158">
        <v>1947</v>
      </c>
      <c r="B57" s="156" t="s">
        <v>694</v>
      </c>
      <c r="C57" s="156" t="s">
        <v>234</v>
      </c>
      <c r="D57" s="156" t="s">
        <v>14</v>
      </c>
      <c r="E57" s="156" t="s">
        <v>15</v>
      </c>
      <c r="F57" s="159">
        <v>20193</v>
      </c>
      <c r="G57" s="159">
        <v>40385</v>
      </c>
      <c r="H57" s="159">
        <v>60579</v>
      </c>
    </row>
    <row r="58" spans="1:8" hidden="1" x14ac:dyDescent="0.25">
      <c r="A58" s="158">
        <v>1948</v>
      </c>
      <c r="B58" s="156" t="s">
        <v>694</v>
      </c>
      <c r="C58" s="156" t="s">
        <v>234</v>
      </c>
      <c r="D58" s="156" t="s">
        <v>14</v>
      </c>
      <c r="E58" s="156" t="s">
        <v>16</v>
      </c>
      <c r="F58" s="159">
        <v>20597</v>
      </c>
      <c r="G58" s="159">
        <v>41195</v>
      </c>
      <c r="H58" s="159">
        <v>61791</v>
      </c>
    </row>
    <row r="59" spans="1:8" hidden="1" x14ac:dyDescent="0.25">
      <c r="A59" s="158">
        <v>1949</v>
      </c>
      <c r="B59" s="156" t="s">
        <v>694</v>
      </c>
      <c r="C59" s="156" t="s">
        <v>234</v>
      </c>
      <c r="D59" s="156" t="s">
        <v>14</v>
      </c>
      <c r="E59" s="156" t="s">
        <v>17</v>
      </c>
      <c r="F59" s="159">
        <v>21011</v>
      </c>
      <c r="G59" s="159">
        <v>42018</v>
      </c>
      <c r="H59" s="159">
        <v>63027</v>
      </c>
    </row>
    <row r="60" spans="1:8" hidden="1" x14ac:dyDescent="0.25">
      <c r="A60" s="158">
        <v>1950</v>
      </c>
      <c r="B60" s="156" t="s">
        <v>694</v>
      </c>
      <c r="C60" s="156" t="s">
        <v>234</v>
      </c>
      <c r="D60" s="156" t="s">
        <v>14</v>
      </c>
      <c r="E60" s="156" t="s">
        <v>18</v>
      </c>
      <c r="F60" s="159">
        <v>21428</v>
      </c>
      <c r="G60" s="159">
        <v>42857</v>
      </c>
      <c r="H60" s="159">
        <v>64286</v>
      </c>
    </row>
    <row r="61" spans="1:8" hidden="1" x14ac:dyDescent="0.25">
      <c r="A61" s="158">
        <v>1951</v>
      </c>
      <c r="B61" s="156" t="s">
        <v>694</v>
      </c>
      <c r="C61" s="156" t="s">
        <v>234</v>
      </c>
      <c r="D61" s="156" t="s">
        <v>14</v>
      </c>
      <c r="E61" s="156" t="s">
        <v>19</v>
      </c>
      <c r="F61" s="159">
        <v>21857</v>
      </c>
      <c r="G61" s="159">
        <v>43716</v>
      </c>
      <c r="H61" s="159">
        <v>65573</v>
      </c>
    </row>
    <row r="62" spans="1:8" hidden="1" x14ac:dyDescent="0.25">
      <c r="A62" s="158">
        <v>1952</v>
      </c>
      <c r="B62" s="156" t="s">
        <v>694</v>
      </c>
      <c r="C62" s="156" t="s">
        <v>234</v>
      </c>
      <c r="D62" s="156" t="s">
        <v>14</v>
      </c>
      <c r="E62" s="156" t="s">
        <v>20</v>
      </c>
      <c r="F62" s="159">
        <v>22296</v>
      </c>
      <c r="G62" s="159">
        <v>44589</v>
      </c>
      <c r="H62" s="159">
        <v>66885</v>
      </c>
    </row>
    <row r="63" spans="1:8" hidden="1" x14ac:dyDescent="0.25">
      <c r="A63" s="158">
        <v>1953</v>
      </c>
      <c r="B63" s="156" t="s">
        <v>694</v>
      </c>
      <c r="C63" s="156" t="s">
        <v>234</v>
      </c>
      <c r="D63" s="156" t="s">
        <v>21</v>
      </c>
      <c r="E63" s="156" t="s">
        <v>15</v>
      </c>
      <c r="F63" s="159">
        <v>22740</v>
      </c>
      <c r="G63" s="159">
        <v>45481</v>
      </c>
      <c r="H63" s="159">
        <v>68221</v>
      </c>
    </row>
    <row r="64" spans="1:8" hidden="1" x14ac:dyDescent="0.25">
      <c r="A64" s="158">
        <v>1954</v>
      </c>
      <c r="B64" s="156" t="s">
        <v>694</v>
      </c>
      <c r="C64" s="156" t="s">
        <v>234</v>
      </c>
      <c r="D64" s="156" t="s">
        <v>21</v>
      </c>
      <c r="E64" s="156" t="s">
        <v>16</v>
      </c>
      <c r="F64" s="159">
        <v>23197</v>
      </c>
      <c r="G64" s="159">
        <v>46391</v>
      </c>
      <c r="H64" s="159">
        <v>69588</v>
      </c>
    </row>
    <row r="65" spans="1:8" hidden="1" x14ac:dyDescent="0.25">
      <c r="A65" s="158">
        <v>1955</v>
      </c>
      <c r="B65" s="156" t="s">
        <v>694</v>
      </c>
      <c r="C65" s="156" t="s">
        <v>234</v>
      </c>
      <c r="D65" s="156" t="s">
        <v>21</v>
      </c>
      <c r="E65" s="156" t="s">
        <v>17</v>
      </c>
      <c r="F65" s="159">
        <v>23659</v>
      </c>
      <c r="G65" s="159">
        <v>47318</v>
      </c>
      <c r="H65" s="159">
        <v>70976</v>
      </c>
    </row>
    <row r="66" spans="1:8" hidden="1" x14ac:dyDescent="0.25">
      <c r="A66" s="158">
        <v>1956</v>
      </c>
      <c r="B66" s="156" t="s">
        <v>694</v>
      </c>
      <c r="C66" s="156" t="s">
        <v>234</v>
      </c>
      <c r="D66" s="156" t="s">
        <v>21</v>
      </c>
      <c r="E66" s="156" t="s">
        <v>18</v>
      </c>
      <c r="F66" s="159">
        <v>24133</v>
      </c>
      <c r="G66" s="159">
        <v>48264</v>
      </c>
      <c r="H66" s="159">
        <v>72398</v>
      </c>
    </row>
    <row r="67" spans="1:8" hidden="1" x14ac:dyDescent="0.25">
      <c r="A67" s="158">
        <v>1957</v>
      </c>
      <c r="B67" s="156" t="s">
        <v>694</v>
      </c>
      <c r="C67" s="156" t="s">
        <v>234</v>
      </c>
      <c r="D67" s="156" t="s">
        <v>21</v>
      </c>
      <c r="E67" s="156" t="s">
        <v>19</v>
      </c>
      <c r="F67" s="159">
        <v>24615</v>
      </c>
      <c r="G67" s="159">
        <v>49229</v>
      </c>
      <c r="H67" s="159">
        <v>73843</v>
      </c>
    </row>
    <row r="68" spans="1:8" hidden="1" x14ac:dyDescent="0.25">
      <c r="A68" s="158">
        <v>1958</v>
      </c>
      <c r="B68" s="156" t="s">
        <v>694</v>
      </c>
      <c r="C68" s="156" t="s">
        <v>234</v>
      </c>
      <c r="D68" s="156" t="s">
        <v>21</v>
      </c>
      <c r="E68" s="156" t="s">
        <v>20</v>
      </c>
      <c r="F68" s="159">
        <v>25108</v>
      </c>
      <c r="G68" s="159">
        <v>50214</v>
      </c>
      <c r="H68" s="159">
        <v>75322</v>
      </c>
    </row>
    <row r="69" spans="1:8" hidden="1" x14ac:dyDescent="0.25">
      <c r="A69" s="158">
        <v>1959</v>
      </c>
      <c r="B69" s="156" t="s">
        <v>694</v>
      </c>
      <c r="C69" s="156" t="s">
        <v>234</v>
      </c>
      <c r="D69" s="156" t="s">
        <v>203</v>
      </c>
      <c r="E69" s="156" t="s">
        <v>15</v>
      </c>
      <c r="F69" s="159">
        <v>25608</v>
      </c>
      <c r="G69" s="159">
        <v>51218</v>
      </c>
      <c r="H69" s="159">
        <v>76826</v>
      </c>
    </row>
    <row r="70" spans="1:8" hidden="1" x14ac:dyDescent="0.25">
      <c r="A70" s="158">
        <v>1960</v>
      </c>
      <c r="B70" s="156" t="s">
        <v>694</v>
      </c>
      <c r="C70" s="156" t="s">
        <v>234</v>
      </c>
      <c r="D70" s="156" t="s">
        <v>203</v>
      </c>
      <c r="E70" s="156" t="s">
        <v>16</v>
      </c>
      <c r="F70" s="159">
        <v>26123</v>
      </c>
      <c r="G70" s="159">
        <v>52243</v>
      </c>
      <c r="H70" s="159">
        <v>78366</v>
      </c>
    </row>
    <row r="71" spans="1:8" hidden="1" x14ac:dyDescent="0.25">
      <c r="A71" s="158">
        <v>1961</v>
      </c>
      <c r="B71" s="156" t="s">
        <v>694</v>
      </c>
      <c r="C71" s="156" t="s">
        <v>234</v>
      </c>
      <c r="D71" s="156" t="s">
        <v>203</v>
      </c>
      <c r="E71" s="156" t="s">
        <v>17</v>
      </c>
      <c r="F71" s="159">
        <v>26645</v>
      </c>
      <c r="G71" s="159">
        <v>53288</v>
      </c>
      <c r="H71" s="159">
        <v>79932</v>
      </c>
    </row>
    <row r="72" spans="1:8" hidden="1" x14ac:dyDescent="0.25">
      <c r="A72" s="158">
        <v>1962</v>
      </c>
      <c r="B72" s="156" t="s">
        <v>694</v>
      </c>
      <c r="C72" s="156" t="s">
        <v>234</v>
      </c>
      <c r="D72" s="156" t="s">
        <v>203</v>
      </c>
      <c r="E72" s="156" t="s">
        <v>18</v>
      </c>
      <c r="F72" s="159">
        <v>27177</v>
      </c>
      <c r="G72" s="159">
        <v>54354</v>
      </c>
      <c r="H72" s="159">
        <v>81533</v>
      </c>
    </row>
    <row r="73" spans="1:8" hidden="1" x14ac:dyDescent="0.25">
      <c r="A73" s="158">
        <v>1963</v>
      </c>
      <c r="B73" s="156" t="s">
        <v>694</v>
      </c>
      <c r="C73" s="156" t="s">
        <v>234</v>
      </c>
      <c r="D73" s="156" t="s">
        <v>203</v>
      </c>
      <c r="E73" s="156" t="s">
        <v>19</v>
      </c>
      <c r="F73" s="159">
        <v>27721</v>
      </c>
      <c r="G73" s="159">
        <v>55441</v>
      </c>
      <c r="H73" s="159">
        <v>83163</v>
      </c>
    </row>
    <row r="74" spans="1:8" hidden="1" x14ac:dyDescent="0.25">
      <c r="A74" s="158">
        <v>1964</v>
      </c>
      <c r="B74" s="156" t="s">
        <v>694</v>
      </c>
      <c r="C74" s="156" t="s">
        <v>234</v>
      </c>
      <c r="D74" s="156" t="s">
        <v>203</v>
      </c>
      <c r="E74" s="156" t="s">
        <v>20</v>
      </c>
      <c r="F74" s="159">
        <v>28275</v>
      </c>
      <c r="G74" s="159">
        <v>56550</v>
      </c>
      <c r="H74" s="159">
        <v>84826</v>
      </c>
    </row>
    <row r="75" spans="1:8" hidden="1" x14ac:dyDescent="0.25">
      <c r="A75" s="158">
        <v>1965</v>
      </c>
      <c r="B75" s="156" t="s">
        <v>694</v>
      </c>
      <c r="C75" s="156" t="s">
        <v>305</v>
      </c>
      <c r="D75" s="156" t="s">
        <v>14</v>
      </c>
      <c r="E75" s="156" t="s">
        <v>15</v>
      </c>
      <c r="F75" s="159">
        <v>20193</v>
      </c>
      <c r="G75" s="159">
        <v>40385</v>
      </c>
      <c r="H75" s="159">
        <v>60579</v>
      </c>
    </row>
    <row r="76" spans="1:8" hidden="1" x14ac:dyDescent="0.25">
      <c r="A76" s="158">
        <v>1966</v>
      </c>
      <c r="B76" s="156" t="s">
        <v>694</v>
      </c>
      <c r="C76" s="156" t="s">
        <v>305</v>
      </c>
      <c r="D76" s="156" t="s">
        <v>14</v>
      </c>
      <c r="E76" s="156" t="s">
        <v>16</v>
      </c>
      <c r="F76" s="159">
        <v>20597</v>
      </c>
      <c r="G76" s="159">
        <v>41195</v>
      </c>
      <c r="H76" s="159">
        <v>61791</v>
      </c>
    </row>
    <row r="77" spans="1:8" hidden="1" x14ac:dyDescent="0.25">
      <c r="A77" s="158">
        <v>1967</v>
      </c>
      <c r="B77" s="156" t="s">
        <v>694</v>
      </c>
      <c r="C77" s="156" t="s">
        <v>305</v>
      </c>
      <c r="D77" s="156" t="s">
        <v>14</v>
      </c>
      <c r="E77" s="156" t="s">
        <v>17</v>
      </c>
      <c r="F77" s="159">
        <v>21011</v>
      </c>
      <c r="G77" s="159">
        <v>42018</v>
      </c>
      <c r="H77" s="159">
        <v>63027</v>
      </c>
    </row>
    <row r="78" spans="1:8" hidden="1" x14ac:dyDescent="0.25">
      <c r="A78" s="158">
        <v>1968</v>
      </c>
      <c r="B78" s="156" t="s">
        <v>694</v>
      </c>
      <c r="C78" s="156" t="s">
        <v>305</v>
      </c>
      <c r="D78" s="156" t="s">
        <v>14</v>
      </c>
      <c r="E78" s="156" t="s">
        <v>18</v>
      </c>
      <c r="F78" s="159">
        <v>21428</v>
      </c>
      <c r="G78" s="159">
        <v>42857</v>
      </c>
      <c r="H78" s="159">
        <v>64286</v>
      </c>
    </row>
    <row r="79" spans="1:8" hidden="1" x14ac:dyDescent="0.25">
      <c r="A79" s="158">
        <v>1969</v>
      </c>
      <c r="B79" s="156" t="s">
        <v>694</v>
      </c>
      <c r="C79" s="156" t="s">
        <v>305</v>
      </c>
      <c r="D79" s="156" t="s">
        <v>14</v>
      </c>
      <c r="E79" s="156" t="s">
        <v>19</v>
      </c>
      <c r="F79" s="159">
        <v>21857</v>
      </c>
      <c r="G79" s="159">
        <v>43716</v>
      </c>
      <c r="H79" s="159">
        <v>65573</v>
      </c>
    </row>
    <row r="80" spans="1:8" hidden="1" x14ac:dyDescent="0.25">
      <c r="A80" s="158">
        <v>1970</v>
      </c>
      <c r="B80" s="156" t="s">
        <v>694</v>
      </c>
      <c r="C80" s="156" t="s">
        <v>305</v>
      </c>
      <c r="D80" s="156" t="s">
        <v>14</v>
      </c>
      <c r="E80" s="156" t="s">
        <v>20</v>
      </c>
      <c r="F80" s="159">
        <v>22296</v>
      </c>
      <c r="G80" s="159">
        <v>44589</v>
      </c>
      <c r="H80" s="159">
        <v>66885</v>
      </c>
    </row>
    <row r="81" spans="1:8" hidden="1" x14ac:dyDescent="0.25">
      <c r="A81" s="158">
        <v>1971</v>
      </c>
      <c r="B81" s="156" t="s">
        <v>694</v>
      </c>
      <c r="C81" s="156" t="s">
        <v>305</v>
      </c>
      <c r="D81" s="156" t="s">
        <v>21</v>
      </c>
      <c r="E81" s="156" t="s">
        <v>15</v>
      </c>
      <c r="F81" s="159">
        <v>22740</v>
      </c>
      <c r="G81" s="159">
        <v>45481</v>
      </c>
      <c r="H81" s="159">
        <v>68221</v>
      </c>
    </row>
    <row r="82" spans="1:8" hidden="1" x14ac:dyDescent="0.25">
      <c r="A82" s="158">
        <v>1972</v>
      </c>
      <c r="B82" s="156" t="s">
        <v>694</v>
      </c>
      <c r="C82" s="156" t="s">
        <v>305</v>
      </c>
      <c r="D82" s="156" t="s">
        <v>21</v>
      </c>
      <c r="E82" s="156" t="s">
        <v>16</v>
      </c>
      <c r="F82" s="159">
        <v>23197</v>
      </c>
      <c r="G82" s="159">
        <v>46391</v>
      </c>
      <c r="H82" s="159">
        <v>69588</v>
      </c>
    </row>
    <row r="83" spans="1:8" hidden="1" x14ac:dyDescent="0.25">
      <c r="A83" s="158">
        <v>1973</v>
      </c>
      <c r="B83" s="156" t="s">
        <v>694</v>
      </c>
      <c r="C83" s="156" t="s">
        <v>305</v>
      </c>
      <c r="D83" s="156" t="s">
        <v>21</v>
      </c>
      <c r="E83" s="156" t="s">
        <v>17</v>
      </c>
      <c r="F83" s="159">
        <v>23659</v>
      </c>
      <c r="G83" s="159">
        <v>47318</v>
      </c>
      <c r="H83" s="159">
        <v>70976</v>
      </c>
    </row>
    <row r="84" spans="1:8" hidden="1" x14ac:dyDescent="0.25">
      <c r="A84" s="158">
        <v>1974</v>
      </c>
      <c r="B84" s="156" t="s">
        <v>694</v>
      </c>
      <c r="C84" s="156" t="s">
        <v>305</v>
      </c>
      <c r="D84" s="156" t="s">
        <v>21</v>
      </c>
      <c r="E84" s="156" t="s">
        <v>18</v>
      </c>
      <c r="F84" s="159">
        <v>24133</v>
      </c>
      <c r="G84" s="159">
        <v>48264</v>
      </c>
      <c r="H84" s="159">
        <v>72398</v>
      </c>
    </row>
    <row r="85" spans="1:8" hidden="1" x14ac:dyDescent="0.25">
      <c r="A85" s="158">
        <v>1975</v>
      </c>
      <c r="B85" s="156" t="s">
        <v>694</v>
      </c>
      <c r="C85" s="156" t="s">
        <v>305</v>
      </c>
      <c r="D85" s="156" t="s">
        <v>21</v>
      </c>
      <c r="E85" s="156" t="s">
        <v>19</v>
      </c>
      <c r="F85" s="159">
        <v>24615</v>
      </c>
      <c r="G85" s="159">
        <v>49229</v>
      </c>
      <c r="H85" s="159">
        <v>73843</v>
      </c>
    </row>
    <row r="86" spans="1:8" hidden="1" x14ac:dyDescent="0.25">
      <c r="A86" s="158">
        <v>1976</v>
      </c>
      <c r="B86" s="156" t="s">
        <v>694</v>
      </c>
      <c r="C86" s="156" t="s">
        <v>305</v>
      </c>
      <c r="D86" s="156" t="s">
        <v>21</v>
      </c>
      <c r="E86" s="156" t="s">
        <v>20</v>
      </c>
      <c r="F86" s="159">
        <v>25108</v>
      </c>
      <c r="G86" s="159">
        <v>50214</v>
      </c>
      <c r="H86" s="159">
        <v>75322</v>
      </c>
    </row>
    <row r="87" spans="1:8" hidden="1" x14ac:dyDescent="0.25">
      <c r="A87" s="158">
        <v>1977</v>
      </c>
      <c r="B87" s="156" t="s">
        <v>694</v>
      </c>
      <c r="C87" s="156" t="s">
        <v>305</v>
      </c>
      <c r="D87" s="156" t="s">
        <v>203</v>
      </c>
      <c r="E87" s="156" t="s">
        <v>15</v>
      </c>
      <c r="F87" s="159">
        <v>25608</v>
      </c>
      <c r="G87" s="159">
        <v>51218</v>
      </c>
      <c r="H87" s="159">
        <v>76826</v>
      </c>
    </row>
    <row r="88" spans="1:8" hidden="1" x14ac:dyDescent="0.25">
      <c r="A88" s="158">
        <v>1978</v>
      </c>
      <c r="B88" s="156" t="s">
        <v>694</v>
      </c>
      <c r="C88" s="156" t="s">
        <v>305</v>
      </c>
      <c r="D88" s="156" t="s">
        <v>203</v>
      </c>
      <c r="E88" s="156" t="s">
        <v>16</v>
      </c>
      <c r="F88" s="159">
        <v>26123</v>
      </c>
      <c r="G88" s="159">
        <v>52243</v>
      </c>
      <c r="H88" s="159">
        <v>78366</v>
      </c>
    </row>
    <row r="89" spans="1:8" hidden="1" x14ac:dyDescent="0.25">
      <c r="A89" s="158">
        <v>1979</v>
      </c>
      <c r="B89" s="156" t="s">
        <v>694</v>
      </c>
      <c r="C89" s="156" t="s">
        <v>305</v>
      </c>
      <c r="D89" s="156" t="s">
        <v>203</v>
      </c>
      <c r="E89" s="156" t="s">
        <v>17</v>
      </c>
      <c r="F89" s="159">
        <v>26645</v>
      </c>
      <c r="G89" s="159">
        <v>53288</v>
      </c>
      <c r="H89" s="159">
        <v>79932</v>
      </c>
    </row>
    <row r="90" spans="1:8" hidden="1" x14ac:dyDescent="0.25">
      <c r="A90" s="158">
        <v>1980</v>
      </c>
      <c r="B90" s="156" t="s">
        <v>694</v>
      </c>
      <c r="C90" s="156" t="s">
        <v>305</v>
      </c>
      <c r="D90" s="156" t="s">
        <v>203</v>
      </c>
      <c r="E90" s="156" t="s">
        <v>18</v>
      </c>
      <c r="F90" s="159">
        <v>27177</v>
      </c>
      <c r="G90" s="159">
        <v>54354</v>
      </c>
      <c r="H90" s="159">
        <v>81533</v>
      </c>
    </row>
    <row r="91" spans="1:8" hidden="1" x14ac:dyDescent="0.25">
      <c r="A91" s="158">
        <v>1981</v>
      </c>
      <c r="B91" s="156" t="s">
        <v>694</v>
      </c>
      <c r="C91" s="156" t="s">
        <v>305</v>
      </c>
      <c r="D91" s="156" t="s">
        <v>203</v>
      </c>
      <c r="E91" s="156" t="s">
        <v>19</v>
      </c>
      <c r="F91" s="159">
        <v>27721</v>
      </c>
      <c r="G91" s="159">
        <v>55441</v>
      </c>
      <c r="H91" s="159">
        <v>83163</v>
      </c>
    </row>
    <row r="92" spans="1:8" hidden="1" x14ac:dyDescent="0.25">
      <c r="A92" s="158">
        <v>1982</v>
      </c>
      <c r="B92" s="156" t="s">
        <v>694</v>
      </c>
      <c r="C92" s="156" t="s">
        <v>305</v>
      </c>
      <c r="D92" s="156" t="s">
        <v>203</v>
      </c>
      <c r="E92" s="156" t="s">
        <v>20</v>
      </c>
      <c r="F92" s="159">
        <v>28275</v>
      </c>
      <c r="G92" s="159">
        <v>56550</v>
      </c>
      <c r="H92" s="159">
        <v>84826</v>
      </c>
    </row>
    <row r="93" spans="1:8" hidden="1" x14ac:dyDescent="0.25">
      <c r="A93" s="158">
        <v>1983</v>
      </c>
      <c r="B93" s="156" t="s">
        <v>694</v>
      </c>
      <c r="C93" s="156" t="s">
        <v>328</v>
      </c>
      <c r="D93" s="156" t="s">
        <v>14</v>
      </c>
      <c r="E93" s="156" t="s">
        <v>15</v>
      </c>
      <c r="F93" s="159">
        <v>24400</v>
      </c>
      <c r="G93" s="159">
        <v>48802</v>
      </c>
      <c r="H93" s="159">
        <v>73203</v>
      </c>
    </row>
    <row r="94" spans="1:8" hidden="1" x14ac:dyDescent="0.25">
      <c r="A94" s="158">
        <v>1984</v>
      </c>
      <c r="B94" s="156" t="s">
        <v>694</v>
      </c>
      <c r="C94" s="156" t="s">
        <v>328</v>
      </c>
      <c r="D94" s="156" t="s">
        <v>14</v>
      </c>
      <c r="E94" s="156" t="s">
        <v>16</v>
      </c>
      <c r="F94" s="159">
        <v>24890</v>
      </c>
      <c r="G94" s="159">
        <v>49779</v>
      </c>
      <c r="H94" s="159">
        <v>74670</v>
      </c>
    </row>
    <row r="95" spans="1:8" hidden="1" x14ac:dyDescent="0.25">
      <c r="A95" s="158">
        <v>1985</v>
      </c>
      <c r="B95" s="156" t="s">
        <v>694</v>
      </c>
      <c r="C95" s="156" t="s">
        <v>328</v>
      </c>
      <c r="D95" s="156" t="s">
        <v>14</v>
      </c>
      <c r="E95" s="156" t="s">
        <v>17</v>
      </c>
      <c r="F95" s="159">
        <v>25387</v>
      </c>
      <c r="G95" s="159">
        <v>50775</v>
      </c>
      <c r="H95" s="159">
        <v>76162</v>
      </c>
    </row>
    <row r="96" spans="1:8" hidden="1" x14ac:dyDescent="0.25">
      <c r="A96" s="158">
        <v>1986</v>
      </c>
      <c r="B96" s="156" t="s">
        <v>694</v>
      </c>
      <c r="C96" s="156" t="s">
        <v>328</v>
      </c>
      <c r="D96" s="156" t="s">
        <v>14</v>
      </c>
      <c r="E96" s="156" t="s">
        <v>18</v>
      </c>
      <c r="F96" s="159">
        <v>25894</v>
      </c>
      <c r="G96" s="159">
        <v>51788</v>
      </c>
      <c r="H96" s="159">
        <v>77682</v>
      </c>
    </row>
    <row r="97" spans="1:8" hidden="1" x14ac:dyDescent="0.25">
      <c r="A97" s="158">
        <v>1987</v>
      </c>
      <c r="B97" s="156" t="s">
        <v>694</v>
      </c>
      <c r="C97" s="156" t="s">
        <v>328</v>
      </c>
      <c r="D97" s="156" t="s">
        <v>14</v>
      </c>
      <c r="E97" s="156" t="s">
        <v>19</v>
      </c>
      <c r="F97" s="159">
        <v>26413</v>
      </c>
      <c r="G97" s="159">
        <v>52824</v>
      </c>
      <c r="H97" s="159">
        <v>79236</v>
      </c>
    </row>
    <row r="98" spans="1:8" hidden="1" x14ac:dyDescent="0.25">
      <c r="A98" s="158">
        <v>1988</v>
      </c>
      <c r="B98" s="156" t="s">
        <v>694</v>
      </c>
      <c r="C98" s="156" t="s">
        <v>328</v>
      </c>
      <c r="D98" s="156" t="s">
        <v>14</v>
      </c>
      <c r="E98" s="156" t="s">
        <v>20</v>
      </c>
      <c r="F98" s="159">
        <v>26940</v>
      </c>
      <c r="G98" s="159">
        <v>53882</v>
      </c>
      <c r="H98" s="159">
        <v>80822</v>
      </c>
    </row>
    <row r="99" spans="1:8" hidden="1" x14ac:dyDescent="0.25">
      <c r="A99" s="158">
        <v>1989</v>
      </c>
      <c r="B99" s="156" t="s">
        <v>694</v>
      </c>
      <c r="C99" s="156" t="s">
        <v>328</v>
      </c>
      <c r="D99" s="156" t="s">
        <v>21</v>
      </c>
      <c r="E99" s="156" t="s">
        <v>15</v>
      </c>
      <c r="F99" s="159">
        <v>27480</v>
      </c>
      <c r="G99" s="159">
        <v>54958</v>
      </c>
      <c r="H99" s="159">
        <v>82438</v>
      </c>
    </row>
    <row r="100" spans="1:8" hidden="1" x14ac:dyDescent="0.25">
      <c r="A100" s="158">
        <v>1990</v>
      </c>
      <c r="B100" s="156" t="s">
        <v>694</v>
      </c>
      <c r="C100" s="156" t="s">
        <v>328</v>
      </c>
      <c r="D100" s="156" t="s">
        <v>21</v>
      </c>
      <c r="E100" s="156" t="s">
        <v>16</v>
      </c>
      <c r="F100" s="159">
        <v>28030</v>
      </c>
      <c r="G100" s="159">
        <v>56058</v>
      </c>
      <c r="H100" s="159">
        <v>84089</v>
      </c>
    </row>
    <row r="101" spans="1:8" hidden="1" x14ac:dyDescent="0.25">
      <c r="A101" s="158">
        <v>1991</v>
      </c>
      <c r="B101" s="156" t="s">
        <v>694</v>
      </c>
      <c r="C101" s="156" t="s">
        <v>328</v>
      </c>
      <c r="D101" s="156" t="s">
        <v>21</v>
      </c>
      <c r="E101" s="156" t="s">
        <v>17</v>
      </c>
      <c r="F101" s="159">
        <v>28589</v>
      </c>
      <c r="G101" s="159">
        <v>57180</v>
      </c>
      <c r="H101" s="159">
        <v>85769</v>
      </c>
    </row>
    <row r="102" spans="1:8" hidden="1" x14ac:dyDescent="0.25">
      <c r="A102" s="158">
        <v>1992</v>
      </c>
      <c r="B102" s="156" t="s">
        <v>694</v>
      </c>
      <c r="C102" s="156" t="s">
        <v>328</v>
      </c>
      <c r="D102" s="156" t="s">
        <v>21</v>
      </c>
      <c r="E102" s="156" t="s">
        <v>18</v>
      </c>
      <c r="F102" s="159">
        <v>29162</v>
      </c>
      <c r="G102" s="159">
        <v>58324</v>
      </c>
      <c r="H102" s="159">
        <v>87485</v>
      </c>
    </row>
    <row r="103" spans="1:8" hidden="1" x14ac:dyDescent="0.25">
      <c r="A103" s="158">
        <v>1993</v>
      </c>
      <c r="B103" s="156" t="s">
        <v>694</v>
      </c>
      <c r="C103" s="156" t="s">
        <v>328</v>
      </c>
      <c r="D103" s="156" t="s">
        <v>21</v>
      </c>
      <c r="E103" s="156" t="s">
        <v>19</v>
      </c>
      <c r="F103" s="159">
        <v>29744</v>
      </c>
      <c r="G103" s="159">
        <v>59489</v>
      </c>
      <c r="H103" s="159">
        <v>89232</v>
      </c>
    </row>
    <row r="104" spans="1:8" hidden="1" x14ac:dyDescent="0.25">
      <c r="A104" s="158">
        <v>1994</v>
      </c>
      <c r="B104" s="156" t="s">
        <v>694</v>
      </c>
      <c r="C104" s="156" t="s">
        <v>328</v>
      </c>
      <c r="D104" s="156" t="s">
        <v>21</v>
      </c>
      <c r="E104" s="156" t="s">
        <v>20</v>
      </c>
      <c r="F104" s="159">
        <v>30340</v>
      </c>
      <c r="G104" s="159">
        <v>60677</v>
      </c>
      <c r="H104" s="159">
        <v>91017</v>
      </c>
    </row>
    <row r="105" spans="1:8" hidden="1" x14ac:dyDescent="0.25">
      <c r="A105" s="158">
        <v>1995</v>
      </c>
      <c r="B105" s="156" t="s">
        <v>694</v>
      </c>
      <c r="C105" s="156" t="s">
        <v>328</v>
      </c>
      <c r="D105" s="156" t="s">
        <v>203</v>
      </c>
      <c r="E105" s="156" t="s">
        <v>15</v>
      </c>
      <c r="F105" s="159">
        <v>30947</v>
      </c>
      <c r="G105" s="159">
        <v>61893</v>
      </c>
      <c r="H105" s="159">
        <v>92840</v>
      </c>
    </row>
    <row r="106" spans="1:8" hidden="1" x14ac:dyDescent="0.25">
      <c r="A106" s="158">
        <v>1996</v>
      </c>
      <c r="B106" s="156" t="s">
        <v>694</v>
      </c>
      <c r="C106" s="156" t="s">
        <v>328</v>
      </c>
      <c r="D106" s="156" t="s">
        <v>203</v>
      </c>
      <c r="E106" s="156" t="s">
        <v>16</v>
      </c>
      <c r="F106" s="159">
        <v>31565</v>
      </c>
      <c r="G106" s="159">
        <v>63130</v>
      </c>
      <c r="H106" s="159">
        <v>94694</v>
      </c>
    </row>
    <row r="107" spans="1:8" hidden="1" x14ac:dyDescent="0.25">
      <c r="A107" s="158">
        <v>1997</v>
      </c>
      <c r="B107" s="156" t="s">
        <v>694</v>
      </c>
      <c r="C107" s="156" t="s">
        <v>328</v>
      </c>
      <c r="D107" s="156" t="s">
        <v>203</v>
      </c>
      <c r="E107" s="156" t="s">
        <v>17</v>
      </c>
      <c r="F107" s="159">
        <v>32196</v>
      </c>
      <c r="G107" s="159">
        <v>64393</v>
      </c>
      <c r="H107" s="159">
        <v>96590</v>
      </c>
    </row>
    <row r="108" spans="1:8" hidden="1" x14ac:dyDescent="0.25">
      <c r="A108" s="158">
        <v>1998</v>
      </c>
      <c r="B108" s="156" t="s">
        <v>694</v>
      </c>
      <c r="C108" s="156" t="s">
        <v>328</v>
      </c>
      <c r="D108" s="156" t="s">
        <v>203</v>
      </c>
      <c r="E108" s="156" t="s">
        <v>18</v>
      </c>
      <c r="F108" s="159">
        <v>32840</v>
      </c>
      <c r="G108" s="159">
        <v>65681</v>
      </c>
      <c r="H108" s="159">
        <v>98520</v>
      </c>
    </row>
    <row r="109" spans="1:8" hidden="1" x14ac:dyDescent="0.25">
      <c r="A109" s="158">
        <v>1999</v>
      </c>
      <c r="B109" s="156" t="s">
        <v>694</v>
      </c>
      <c r="C109" s="156" t="s">
        <v>328</v>
      </c>
      <c r="D109" s="156" t="s">
        <v>203</v>
      </c>
      <c r="E109" s="156" t="s">
        <v>19</v>
      </c>
      <c r="F109" s="159">
        <v>33497</v>
      </c>
      <c r="G109" s="159">
        <v>66994</v>
      </c>
      <c r="H109" s="156" t="s">
        <v>717</v>
      </c>
    </row>
    <row r="110" spans="1:8" hidden="1" x14ac:dyDescent="0.25">
      <c r="A110" s="158">
        <v>2000</v>
      </c>
      <c r="B110" s="156" t="s">
        <v>694</v>
      </c>
      <c r="C110" s="156" t="s">
        <v>328</v>
      </c>
      <c r="D110" s="156" t="s">
        <v>203</v>
      </c>
      <c r="E110" s="156" t="s">
        <v>20</v>
      </c>
      <c r="F110" s="159">
        <v>34173</v>
      </c>
      <c r="G110" s="159">
        <v>68334</v>
      </c>
      <c r="H110" s="156" t="s">
        <v>718</v>
      </c>
    </row>
    <row r="111" spans="1:8" hidden="1" x14ac:dyDescent="0.25">
      <c r="A111" s="158">
        <v>2001</v>
      </c>
      <c r="B111" s="156" t="s">
        <v>694</v>
      </c>
      <c r="C111" s="156" t="s">
        <v>361</v>
      </c>
      <c r="D111" s="156" t="s">
        <v>14</v>
      </c>
      <c r="E111" s="156" t="s">
        <v>15</v>
      </c>
      <c r="F111" s="159">
        <v>16630</v>
      </c>
      <c r="G111" s="159">
        <v>33259</v>
      </c>
      <c r="H111" s="159">
        <v>49889</v>
      </c>
    </row>
    <row r="112" spans="1:8" hidden="1" x14ac:dyDescent="0.25">
      <c r="A112" s="158">
        <v>2002</v>
      </c>
      <c r="B112" s="156" t="s">
        <v>694</v>
      </c>
      <c r="C112" s="156" t="s">
        <v>361</v>
      </c>
      <c r="D112" s="156" t="s">
        <v>14</v>
      </c>
      <c r="E112" s="156" t="s">
        <v>16</v>
      </c>
      <c r="F112" s="159">
        <v>16962</v>
      </c>
      <c r="G112" s="159">
        <v>33924</v>
      </c>
      <c r="H112" s="159">
        <v>50885</v>
      </c>
    </row>
    <row r="113" spans="1:8" hidden="1" x14ac:dyDescent="0.25">
      <c r="A113" s="158">
        <v>2003</v>
      </c>
      <c r="B113" s="156" t="s">
        <v>694</v>
      </c>
      <c r="C113" s="156" t="s">
        <v>361</v>
      </c>
      <c r="D113" s="156" t="s">
        <v>14</v>
      </c>
      <c r="E113" s="156" t="s">
        <v>17</v>
      </c>
      <c r="F113" s="159">
        <v>17301</v>
      </c>
      <c r="G113" s="159">
        <v>34602</v>
      </c>
      <c r="H113" s="159">
        <v>51903</v>
      </c>
    </row>
    <row r="114" spans="1:8" hidden="1" x14ac:dyDescent="0.25">
      <c r="A114" s="158">
        <v>2004</v>
      </c>
      <c r="B114" s="156" t="s">
        <v>694</v>
      </c>
      <c r="C114" s="156" t="s">
        <v>361</v>
      </c>
      <c r="D114" s="156" t="s">
        <v>14</v>
      </c>
      <c r="E114" s="156" t="s">
        <v>18</v>
      </c>
      <c r="F114" s="159">
        <v>17647</v>
      </c>
      <c r="G114" s="159">
        <v>35293</v>
      </c>
      <c r="H114" s="159">
        <v>52941</v>
      </c>
    </row>
    <row r="115" spans="1:8" hidden="1" x14ac:dyDescent="0.25">
      <c r="A115" s="158">
        <v>2005</v>
      </c>
      <c r="B115" s="156" t="s">
        <v>694</v>
      </c>
      <c r="C115" s="156" t="s">
        <v>361</v>
      </c>
      <c r="D115" s="156" t="s">
        <v>14</v>
      </c>
      <c r="E115" s="156" t="s">
        <v>19</v>
      </c>
      <c r="F115" s="159">
        <v>17999</v>
      </c>
      <c r="G115" s="159">
        <v>35999</v>
      </c>
      <c r="H115" s="159">
        <v>53999</v>
      </c>
    </row>
    <row r="116" spans="1:8" hidden="1" x14ac:dyDescent="0.25">
      <c r="A116" s="158">
        <v>2006</v>
      </c>
      <c r="B116" s="156" t="s">
        <v>694</v>
      </c>
      <c r="C116" s="156" t="s">
        <v>361</v>
      </c>
      <c r="D116" s="156" t="s">
        <v>14</v>
      </c>
      <c r="E116" s="156" t="s">
        <v>20</v>
      </c>
      <c r="F116" s="159">
        <v>18360</v>
      </c>
      <c r="G116" s="159">
        <v>36721</v>
      </c>
      <c r="H116" s="159">
        <v>55082</v>
      </c>
    </row>
    <row r="117" spans="1:8" hidden="1" x14ac:dyDescent="0.25">
      <c r="A117" s="158">
        <v>2007</v>
      </c>
      <c r="B117" s="156" t="s">
        <v>694</v>
      </c>
      <c r="C117" s="156" t="s">
        <v>361</v>
      </c>
      <c r="D117" s="156" t="s">
        <v>21</v>
      </c>
      <c r="E117" s="156" t="s">
        <v>15</v>
      </c>
      <c r="F117" s="159">
        <v>18727</v>
      </c>
      <c r="G117" s="159">
        <v>37454</v>
      </c>
      <c r="H117" s="159">
        <v>56180</v>
      </c>
    </row>
    <row r="118" spans="1:8" hidden="1" x14ac:dyDescent="0.25">
      <c r="A118" s="158">
        <v>2008</v>
      </c>
      <c r="B118" s="156" t="s">
        <v>694</v>
      </c>
      <c r="C118" s="156" t="s">
        <v>361</v>
      </c>
      <c r="D118" s="156" t="s">
        <v>21</v>
      </c>
      <c r="E118" s="156" t="s">
        <v>16</v>
      </c>
      <c r="F118" s="159">
        <v>19101</v>
      </c>
      <c r="G118" s="159">
        <v>38203</v>
      </c>
      <c r="H118" s="159">
        <v>57304</v>
      </c>
    </row>
    <row r="119" spans="1:8" hidden="1" x14ac:dyDescent="0.25">
      <c r="A119" s="158">
        <v>2009</v>
      </c>
      <c r="B119" s="156" t="s">
        <v>694</v>
      </c>
      <c r="C119" s="156" t="s">
        <v>361</v>
      </c>
      <c r="D119" s="156" t="s">
        <v>21</v>
      </c>
      <c r="E119" s="156" t="s">
        <v>17</v>
      </c>
      <c r="F119" s="159">
        <v>19484</v>
      </c>
      <c r="G119" s="159">
        <v>38968</v>
      </c>
      <c r="H119" s="159">
        <v>58451</v>
      </c>
    </row>
    <row r="120" spans="1:8" hidden="1" x14ac:dyDescent="0.25">
      <c r="A120" s="158">
        <v>2010</v>
      </c>
      <c r="B120" s="156" t="s">
        <v>694</v>
      </c>
      <c r="C120" s="156" t="s">
        <v>361</v>
      </c>
      <c r="D120" s="156" t="s">
        <v>21</v>
      </c>
      <c r="E120" s="156" t="s">
        <v>18</v>
      </c>
      <c r="F120" s="159">
        <v>19873</v>
      </c>
      <c r="G120" s="159">
        <v>39746</v>
      </c>
      <c r="H120" s="159">
        <v>59619</v>
      </c>
    </row>
    <row r="121" spans="1:8" hidden="1" x14ac:dyDescent="0.25">
      <c r="A121" s="158">
        <v>2011</v>
      </c>
      <c r="B121" s="156" t="s">
        <v>694</v>
      </c>
      <c r="C121" s="156" t="s">
        <v>361</v>
      </c>
      <c r="D121" s="156" t="s">
        <v>21</v>
      </c>
      <c r="E121" s="156" t="s">
        <v>19</v>
      </c>
      <c r="F121" s="159">
        <v>20271</v>
      </c>
      <c r="G121" s="159">
        <v>40542</v>
      </c>
      <c r="H121" s="159">
        <v>60812</v>
      </c>
    </row>
    <row r="122" spans="1:8" hidden="1" x14ac:dyDescent="0.25">
      <c r="A122" s="158">
        <v>2012</v>
      </c>
      <c r="B122" s="156" t="s">
        <v>694</v>
      </c>
      <c r="C122" s="156" t="s">
        <v>361</v>
      </c>
      <c r="D122" s="156" t="s">
        <v>21</v>
      </c>
      <c r="E122" s="156" t="s">
        <v>20</v>
      </c>
      <c r="F122" s="159">
        <v>20677</v>
      </c>
      <c r="G122" s="159">
        <v>41353</v>
      </c>
      <c r="H122" s="159">
        <v>62030</v>
      </c>
    </row>
    <row r="123" spans="1:8" hidden="1" x14ac:dyDescent="0.25">
      <c r="A123" s="158">
        <v>2013</v>
      </c>
      <c r="B123" s="156" t="s">
        <v>694</v>
      </c>
      <c r="C123" s="156" t="s">
        <v>361</v>
      </c>
      <c r="D123" s="156" t="s">
        <v>203</v>
      </c>
      <c r="E123" s="156" t="s">
        <v>15</v>
      </c>
      <c r="F123" s="159">
        <v>21089</v>
      </c>
      <c r="G123" s="159">
        <v>42180</v>
      </c>
      <c r="H123" s="159">
        <v>63269</v>
      </c>
    </row>
    <row r="124" spans="1:8" hidden="1" x14ac:dyDescent="0.25">
      <c r="A124" s="158">
        <v>2014</v>
      </c>
      <c r="B124" s="156" t="s">
        <v>694</v>
      </c>
      <c r="C124" s="156" t="s">
        <v>361</v>
      </c>
      <c r="D124" s="156" t="s">
        <v>203</v>
      </c>
      <c r="E124" s="156" t="s">
        <v>16</v>
      </c>
      <c r="F124" s="159">
        <v>21512</v>
      </c>
      <c r="G124" s="159">
        <v>43023</v>
      </c>
      <c r="H124" s="159">
        <v>64536</v>
      </c>
    </row>
    <row r="125" spans="1:8" hidden="1" x14ac:dyDescent="0.25">
      <c r="A125" s="158">
        <v>2015</v>
      </c>
      <c r="B125" s="156" t="s">
        <v>694</v>
      </c>
      <c r="C125" s="156" t="s">
        <v>361</v>
      </c>
      <c r="D125" s="156" t="s">
        <v>203</v>
      </c>
      <c r="E125" s="156" t="s">
        <v>17</v>
      </c>
      <c r="F125" s="159">
        <v>21942</v>
      </c>
      <c r="G125" s="159">
        <v>43884</v>
      </c>
      <c r="H125" s="159">
        <v>65826</v>
      </c>
    </row>
    <row r="126" spans="1:8" hidden="1" x14ac:dyDescent="0.25">
      <c r="A126" s="158">
        <v>2016</v>
      </c>
      <c r="B126" s="156" t="s">
        <v>694</v>
      </c>
      <c r="C126" s="156" t="s">
        <v>361</v>
      </c>
      <c r="D126" s="156" t="s">
        <v>203</v>
      </c>
      <c r="E126" s="156" t="s">
        <v>18</v>
      </c>
      <c r="F126" s="159">
        <v>22380</v>
      </c>
      <c r="G126" s="159">
        <v>44763</v>
      </c>
      <c r="H126" s="159">
        <v>67142</v>
      </c>
    </row>
    <row r="127" spans="1:8" hidden="1" x14ac:dyDescent="0.25">
      <c r="A127" s="158">
        <v>2017</v>
      </c>
      <c r="B127" s="156" t="s">
        <v>694</v>
      </c>
      <c r="C127" s="156" t="s">
        <v>361</v>
      </c>
      <c r="D127" s="156" t="s">
        <v>203</v>
      </c>
      <c r="E127" s="156" t="s">
        <v>19</v>
      </c>
      <c r="F127" s="159">
        <v>22827</v>
      </c>
      <c r="G127" s="159">
        <v>45655</v>
      </c>
      <c r="H127" s="159">
        <v>68484</v>
      </c>
    </row>
    <row r="128" spans="1:8" hidden="1" x14ac:dyDescent="0.25">
      <c r="A128" s="158">
        <v>2018</v>
      </c>
      <c r="B128" s="156" t="s">
        <v>694</v>
      </c>
      <c r="C128" s="156" t="s">
        <v>361</v>
      </c>
      <c r="D128" s="156" t="s">
        <v>203</v>
      </c>
      <c r="E128" s="156" t="s">
        <v>20</v>
      </c>
      <c r="F128" s="159">
        <v>23284</v>
      </c>
      <c r="G128" s="159">
        <v>46570</v>
      </c>
      <c r="H128" s="159">
        <v>69854</v>
      </c>
    </row>
    <row r="129" spans="1:8" hidden="1" x14ac:dyDescent="0.25">
      <c r="A129" s="158">
        <v>2019</v>
      </c>
      <c r="B129" s="156" t="s">
        <v>694</v>
      </c>
      <c r="C129" s="156" t="s">
        <v>262</v>
      </c>
      <c r="D129" s="156" t="s">
        <v>14</v>
      </c>
      <c r="E129" s="156" t="s">
        <v>15</v>
      </c>
      <c r="F129" s="159">
        <v>14084</v>
      </c>
      <c r="G129" s="159">
        <v>28169</v>
      </c>
      <c r="H129" s="159">
        <v>42254</v>
      </c>
    </row>
    <row r="130" spans="1:8" hidden="1" x14ac:dyDescent="0.25">
      <c r="A130" s="158">
        <v>2020</v>
      </c>
      <c r="B130" s="156" t="s">
        <v>694</v>
      </c>
      <c r="C130" s="156" t="s">
        <v>262</v>
      </c>
      <c r="D130" s="156" t="s">
        <v>14</v>
      </c>
      <c r="E130" s="156" t="s">
        <v>16</v>
      </c>
      <c r="F130" s="159">
        <v>14366</v>
      </c>
      <c r="G130" s="159">
        <v>28731</v>
      </c>
      <c r="H130" s="159">
        <v>43098</v>
      </c>
    </row>
    <row r="131" spans="1:8" hidden="1" x14ac:dyDescent="0.25">
      <c r="A131" s="158">
        <v>2021</v>
      </c>
      <c r="B131" s="156" t="s">
        <v>694</v>
      </c>
      <c r="C131" s="156" t="s">
        <v>262</v>
      </c>
      <c r="D131" s="156" t="s">
        <v>14</v>
      </c>
      <c r="E131" s="156" t="s">
        <v>17</v>
      </c>
      <c r="F131" s="159">
        <v>14653</v>
      </c>
      <c r="G131" s="159">
        <v>29309</v>
      </c>
      <c r="H131" s="159">
        <v>43961</v>
      </c>
    </row>
    <row r="132" spans="1:8" hidden="1" x14ac:dyDescent="0.25">
      <c r="A132" s="158">
        <v>2022</v>
      </c>
      <c r="B132" s="156" t="s">
        <v>694</v>
      </c>
      <c r="C132" s="156" t="s">
        <v>262</v>
      </c>
      <c r="D132" s="156" t="s">
        <v>14</v>
      </c>
      <c r="E132" s="156" t="s">
        <v>18</v>
      </c>
      <c r="F132" s="159">
        <v>14948</v>
      </c>
      <c r="G132" s="159">
        <v>29894</v>
      </c>
      <c r="H132" s="159">
        <v>44841</v>
      </c>
    </row>
    <row r="133" spans="1:8" hidden="1" x14ac:dyDescent="0.25">
      <c r="A133" s="158">
        <v>2023</v>
      </c>
      <c r="B133" s="156" t="s">
        <v>694</v>
      </c>
      <c r="C133" s="156" t="s">
        <v>262</v>
      </c>
      <c r="D133" s="156" t="s">
        <v>14</v>
      </c>
      <c r="E133" s="156" t="s">
        <v>19</v>
      </c>
      <c r="F133" s="159">
        <v>15245</v>
      </c>
      <c r="G133" s="159">
        <v>30490</v>
      </c>
      <c r="H133" s="159">
        <v>45735</v>
      </c>
    </row>
    <row r="134" spans="1:8" hidden="1" x14ac:dyDescent="0.25">
      <c r="A134" s="158">
        <v>2024</v>
      </c>
      <c r="B134" s="156" t="s">
        <v>694</v>
      </c>
      <c r="C134" s="156" t="s">
        <v>262</v>
      </c>
      <c r="D134" s="156" t="s">
        <v>14</v>
      </c>
      <c r="E134" s="156" t="s">
        <v>20</v>
      </c>
      <c r="F134" s="159">
        <v>15551</v>
      </c>
      <c r="G134" s="159">
        <v>31102</v>
      </c>
      <c r="H134" s="159">
        <v>46653</v>
      </c>
    </row>
    <row r="135" spans="1:8" hidden="1" x14ac:dyDescent="0.25">
      <c r="A135" s="158">
        <v>2025</v>
      </c>
      <c r="B135" s="156" t="s">
        <v>694</v>
      </c>
      <c r="C135" s="156" t="s">
        <v>262</v>
      </c>
      <c r="D135" s="156" t="s">
        <v>21</v>
      </c>
      <c r="E135" s="156" t="s">
        <v>15</v>
      </c>
      <c r="F135" s="159">
        <v>15861</v>
      </c>
      <c r="G135" s="159">
        <v>31723</v>
      </c>
      <c r="H135" s="159">
        <v>47585</v>
      </c>
    </row>
    <row r="136" spans="1:8" hidden="1" x14ac:dyDescent="0.25">
      <c r="A136" s="158">
        <v>2026</v>
      </c>
      <c r="B136" s="156" t="s">
        <v>694</v>
      </c>
      <c r="C136" s="156" t="s">
        <v>262</v>
      </c>
      <c r="D136" s="156" t="s">
        <v>21</v>
      </c>
      <c r="E136" s="156" t="s">
        <v>16</v>
      </c>
      <c r="F136" s="159">
        <v>16178</v>
      </c>
      <c r="G136" s="159">
        <v>32358</v>
      </c>
      <c r="H136" s="159">
        <v>48536</v>
      </c>
    </row>
    <row r="137" spans="1:8" hidden="1" x14ac:dyDescent="0.25">
      <c r="A137" s="158">
        <v>2027</v>
      </c>
      <c r="B137" s="156" t="s">
        <v>694</v>
      </c>
      <c r="C137" s="156" t="s">
        <v>262</v>
      </c>
      <c r="D137" s="156" t="s">
        <v>21</v>
      </c>
      <c r="E137" s="156" t="s">
        <v>17</v>
      </c>
      <c r="F137" s="159">
        <v>16502</v>
      </c>
      <c r="G137" s="159">
        <v>33003</v>
      </c>
      <c r="H137" s="159">
        <v>49504</v>
      </c>
    </row>
    <row r="138" spans="1:8" hidden="1" x14ac:dyDescent="0.25">
      <c r="A138" s="158">
        <v>2028</v>
      </c>
      <c r="B138" s="156" t="s">
        <v>694</v>
      </c>
      <c r="C138" s="156" t="s">
        <v>262</v>
      </c>
      <c r="D138" s="156" t="s">
        <v>21</v>
      </c>
      <c r="E138" s="156" t="s">
        <v>18</v>
      </c>
      <c r="F138" s="159">
        <v>16833</v>
      </c>
      <c r="G138" s="159">
        <v>33665</v>
      </c>
      <c r="H138" s="159">
        <v>50498</v>
      </c>
    </row>
    <row r="139" spans="1:8" hidden="1" x14ac:dyDescent="0.25">
      <c r="A139" s="158">
        <v>2029</v>
      </c>
      <c r="B139" s="156" t="s">
        <v>694</v>
      </c>
      <c r="C139" s="156" t="s">
        <v>262</v>
      </c>
      <c r="D139" s="156" t="s">
        <v>21</v>
      </c>
      <c r="E139" s="156" t="s">
        <v>19</v>
      </c>
      <c r="F139" s="159">
        <v>17170</v>
      </c>
      <c r="G139" s="159">
        <v>34338</v>
      </c>
      <c r="H139" s="159">
        <v>51508</v>
      </c>
    </row>
    <row r="140" spans="1:8" hidden="1" x14ac:dyDescent="0.25">
      <c r="A140" s="158">
        <v>2030</v>
      </c>
      <c r="B140" s="156" t="s">
        <v>694</v>
      </c>
      <c r="C140" s="156" t="s">
        <v>262</v>
      </c>
      <c r="D140" s="156" t="s">
        <v>21</v>
      </c>
      <c r="E140" s="156" t="s">
        <v>20</v>
      </c>
      <c r="F140" s="159">
        <v>17513</v>
      </c>
      <c r="G140" s="159">
        <v>35024</v>
      </c>
      <c r="H140" s="159">
        <v>52538</v>
      </c>
    </row>
    <row r="141" spans="1:8" hidden="1" x14ac:dyDescent="0.25">
      <c r="A141" s="158">
        <v>2031</v>
      </c>
      <c r="B141" s="156" t="s">
        <v>694</v>
      </c>
      <c r="C141" s="156" t="s">
        <v>262</v>
      </c>
      <c r="D141" s="156" t="s">
        <v>203</v>
      </c>
      <c r="E141" s="156" t="s">
        <v>15</v>
      </c>
      <c r="F141" s="159">
        <v>17863</v>
      </c>
      <c r="G141" s="159">
        <v>35726</v>
      </c>
      <c r="H141" s="159">
        <v>53589</v>
      </c>
    </row>
    <row r="142" spans="1:8" hidden="1" x14ac:dyDescent="0.25">
      <c r="A142" s="158">
        <v>2032</v>
      </c>
      <c r="B142" s="156" t="s">
        <v>694</v>
      </c>
      <c r="C142" s="156" t="s">
        <v>262</v>
      </c>
      <c r="D142" s="156" t="s">
        <v>203</v>
      </c>
      <c r="E142" s="156" t="s">
        <v>16</v>
      </c>
      <c r="F142" s="159">
        <v>18220</v>
      </c>
      <c r="G142" s="159">
        <v>36440</v>
      </c>
      <c r="H142" s="159">
        <v>54660</v>
      </c>
    </row>
    <row r="143" spans="1:8" hidden="1" x14ac:dyDescent="0.25">
      <c r="A143" s="158">
        <v>2033</v>
      </c>
      <c r="B143" s="156" t="s">
        <v>694</v>
      </c>
      <c r="C143" s="156" t="s">
        <v>262</v>
      </c>
      <c r="D143" s="156" t="s">
        <v>203</v>
      </c>
      <c r="E143" s="156" t="s">
        <v>17</v>
      </c>
      <c r="F143" s="159">
        <v>18584</v>
      </c>
      <c r="G143" s="159">
        <v>37169</v>
      </c>
      <c r="H143" s="159">
        <v>55754</v>
      </c>
    </row>
    <row r="144" spans="1:8" hidden="1" x14ac:dyDescent="0.25">
      <c r="A144" s="158">
        <v>2034</v>
      </c>
      <c r="B144" s="156" t="s">
        <v>694</v>
      </c>
      <c r="C144" s="156" t="s">
        <v>262</v>
      </c>
      <c r="D144" s="156" t="s">
        <v>203</v>
      </c>
      <c r="E144" s="156" t="s">
        <v>18</v>
      </c>
      <c r="F144" s="159">
        <v>18955</v>
      </c>
      <c r="G144" s="159">
        <v>37910</v>
      </c>
      <c r="H144" s="159">
        <v>56866</v>
      </c>
    </row>
    <row r="145" spans="1:8" hidden="1" x14ac:dyDescent="0.25">
      <c r="A145" s="158">
        <v>2035</v>
      </c>
      <c r="B145" s="156" t="s">
        <v>694</v>
      </c>
      <c r="C145" s="156" t="s">
        <v>262</v>
      </c>
      <c r="D145" s="156" t="s">
        <v>203</v>
      </c>
      <c r="E145" s="156" t="s">
        <v>19</v>
      </c>
      <c r="F145" s="159">
        <v>19335</v>
      </c>
      <c r="G145" s="159">
        <v>38668</v>
      </c>
      <c r="H145" s="159">
        <v>58003</v>
      </c>
    </row>
    <row r="146" spans="1:8" hidden="1" x14ac:dyDescent="0.25">
      <c r="A146" s="158">
        <v>2036</v>
      </c>
      <c r="B146" s="156" t="s">
        <v>694</v>
      </c>
      <c r="C146" s="156" t="s">
        <v>262</v>
      </c>
      <c r="D146" s="156" t="s">
        <v>203</v>
      </c>
      <c r="E146" s="156" t="s">
        <v>20</v>
      </c>
      <c r="F146" s="159">
        <v>19720</v>
      </c>
      <c r="G146" s="159">
        <v>39443</v>
      </c>
      <c r="H146" s="159">
        <v>59162</v>
      </c>
    </row>
    <row r="147" spans="1:8" hidden="1" x14ac:dyDescent="0.25">
      <c r="A147" s="158">
        <v>2037</v>
      </c>
      <c r="B147" s="156" t="s">
        <v>694</v>
      </c>
      <c r="C147" s="156" t="s">
        <v>359</v>
      </c>
      <c r="D147" s="156" t="s">
        <v>14</v>
      </c>
      <c r="E147" s="156" t="s">
        <v>15</v>
      </c>
      <c r="F147" s="159">
        <v>14084</v>
      </c>
      <c r="G147" s="159">
        <v>28169</v>
      </c>
      <c r="H147" s="159">
        <v>42254</v>
      </c>
    </row>
    <row r="148" spans="1:8" hidden="1" x14ac:dyDescent="0.25">
      <c r="A148" s="158">
        <v>2038</v>
      </c>
      <c r="B148" s="156" t="s">
        <v>694</v>
      </c>
      <c r="C148" s="156" t="s">
        <v>359</v>
      </c>
      <c r="D148" s="156" t="s">
        <v>14</v>
      </c>
      <c r="E148" s="156" t="s">
        <v>16</v>
      </c>
      <c r="F148" s="159">
        <v>14366</v>
      </c>
      <c r="G148" s="159">
        <v>28731</v>
      </c>
      <c r="H148" s="159">
        <v>43098</v>
      </c>
    </row>
    <row r="149" spans="1:8" hidden="1" x14ac:dyDescent="0.25">
      <c r="A149" s="158">
        <v>2039</v>
      </c>
      <c r="B149" s="156" t="s">
        <v>694</v>
      </c>
      <c r="C149" s="156" t="s">
        <v>359</v>
      </c>
      <c r="D149" s="156" t="s">
        <v>14</v>
      </c>
      <c r="E149" s="156" t="s">
        <v>17</v>
      </c>
      <c r="F149" s="159">
        <v>14653</v>
      </c>
      <c r="G149" s="159">
        <v>29309</v>
      </c>
      <c r="H149" s="159">
        <v>43961</v>
      </c>
    </row>
    <row r="150" spans="1:8" hidden="1" x14ac:dyDescent="0.25">
      <c r="A150" s="158">
        <v>2040</v>
      </c>
      <c r="B150" s="156" t="s">
        <v>694</v>
      </c>
      <c r="C150" s="156" t="s">
        <v>359</v>
      </c>
      <c r="D150" s="156" t="s">
        <v>14</v>
      </c>
      <c r="E150" s="156" t="s">
        <v>18</v>
      </c>
      <c r="F150" s="159">
        <v>14948</v>
      </c>
      <c r="G150" s="159">
        <v>29894</v>
      </c>
      <c r="H150" s="159">
        <v>44841</v>
      </c>
    </row>
    <row r="151" spans="1:8" hidden="1" x14ac:dyDescent="0.25">
      <c r="A151" s="158">
        <v>2041</v>
      </c>
      <c r="B151" s="156" t="s">
        <v>694</v>
      </c>
      <c r="C151" s="156" t="s">
        <v>359</v>
      </c>
      <c r="D151" s="156" t="s">
        <v>14</v>
      </c>
      <c r="E151" s="156" t="s">
        <v>19</v>
      </c>
      <c r="F151" s="159">
        <v>15245</v>
      </c>
      <c r="G151" s="159">
        <v>30490</v>
      </c>
      <c r="H151" s="159">
        <v>45735</v>
      </c>
    </row>
    <row r="152" spans="1:8" hidden="1" x14ac:dyDescent="0.25">
      <c r="A152" s="158">
        <v>2042</v>
      </c>
      <c r="B152" s="156" t="s">
        <v>694</v>
      </c>
      <c r="C152" s="156" t="s">
        <v>359</v>
      </c>
      <c r="D152" s="156" t="s">
        <v>14</v>
      </c>
      <c r="E152" s="156" t="s">
        <v>20</v>
      </c>
      <c r="F152" s="159">
        <v>15551</v>
      </c>
      <c r="G152" s="159">
        <v>31102</v>
      </c>
      <c r="H152" s="159">
        <v>46653</v>
      </c>
    </row>
    <row r="153" spans="1:8" hidden="1" x14ac:dyDescent="0.25">
      <c r="A153" s="158">
        <v>2043</v>
      </c>
      <c r="B153" s="156" t="s">
        <v>694</v>
      </c>
      <c r="C153" s="156" t="s">
        <v>359</v>
      </c>
      <c r="D153" s="156" t="s">
        <v>21</v>
      </c>
      <c r="E153" s="156" t="s">
        <v>15</v>
      </c>
      <c r="F153" s="159">
        <v>15861</v>
      </c>
      <c r="G153" s="159">
        <v>31723</v>
      </c>
      <c r="H153" s="159">
        <v>47585</v>
      </c>
    </row>
    <row r="154" spans="1:8" hidden="1" x14ac:dyDescent="0.25">
      <c r="A154" s="158">
        <v>2044</v>
      </c>
      <c r="B154" s="156" t="s">
        <v>694</v>
      </c>
      <c r="C154" s="156" t="s">
        <v>359</v>
      </c>
      <c r="D154" s="156" t="s">
        <v>21</v>
      </c>
      <c r="E154" s="156" t="s">
        <v>16</v>
      </c>
      <c r="F154" s="159">
        <v>16178</v>
      </c>
      <c r="G154" s="159">
        <v>32358</v>
      </c>
      <c r="H154" s="159">
        <v>48536</v>
      </c>
    </row>
    <row r="155" spans="1:8" hidden="1" x14ac:dyDescent="0.25">
      <c r="A155" s="158">
        <v>2045</v>
      </c>
      <c r="B155" s="156" t="s">
        <v>694</v>
      </c>
      <c r="C155" s="156" t="s">
        <v>359</v>
      </c>
      <c r="D155" s="156" t="s">
        <v>21</v>
      </c>
      <c r="E155" s="156" t="s">
        <v>17</v>
      </c>
      <c r="F155" s="159">
        <v>16502</v>
      </c>
      <c r="G155" s="159">
        <v>33003</v>
      </c>
      <c r="H155" s="159">
        <v>49504</v>
      </c>
    </row>
    <row r="156" spans="1:8" hidden="1" x14ac:dyDescent="0.25">
      <c r="A156" s="158">
        <v>2046</v>
      </c>
      <c r="B156" s="156" t="s">
        <v>694</v>
      </c>
      <c r="C156" s="156" t="s">
        <v>359</v>
      </c>
      <c r="D156" s="156" t="s">
        <v>21</v>
      </c>
      <c r="E156" s="156" t="s">
        <v>18</v>
      </c>
      <c r="F156" s="159">
        <v>16833</v>
      </c>
      <c r="G156" s="159">
        <v>33665</v>
      </c>
      <c r="H156" s="159">
        <v>50498</v>
      </c>
    </row>
    <row r="157" spans="1:8" hidden="1" x14ac:dyDescent="0.25">
      <c r="A157" s="158">
        <v>2047</v>
      </c>
      <c r="B157" s="156" t="s">
        <v>694</v>
      </c>
      <c r="C157" s="156" t="s">
        <v>359</v>
      </c>
      <c r="D157" s="156" t="s">
        <v>21</v>
      </c>
      <c r="E157" s="156" t="s">
        <v>19</v>
      </c>
      <c r="F157" s="159">
        <v>17170</v>
      </c>
      <c r="G157" s="159">
        <v>34338</v>
      </c>
      <c r="H157" s="159">
        <v>51508</v>
      </c>
    </row>
    <row r="158" spans="1:8" hidden="1" x14ac:dyDescent="0.25">
      <c r="A158" s="158">
        <v>2048</v>
      </c>
      <c r="B158" s="156" t="s">
        <v>694</v>
      </c>
      <c r="C158" s="156" t="s">
        <v>359</v>
      </c>
      <c r="D158" s="156" t="s">
        <v>21</v>
      </c>
      <c r="E158" s="156" t="s">
        <v>20</v>
      </c>
      <c r="F158" s="159">
        <v>17513</v>
      </c>
      <c r="G158" s="159">
        <v>35024</v>
      </c>
      <c r="H158" s="159">
        <v>52538</v>
      </c>
    </row>
    <row r="159" spans="1:8" hidden="1" x14ac:dyDescent="0.25">
      <c r="A159" s="158">
        <v>2049</v>
      </c>
      <c r="B159" s="156" t="s">
        <v>694</v>
      </c>
      <c r="C159" s="156" t="s">
        <v>359</v>
      </c>
      <c r="D159" s="156" t="s">
        <v>203</v>
      </c>
      <c r="E159" s="156" t="s">
        <v>15</v>
      </c>
      <c r="F159" s="159">
        <v>17863</v>
      </c>
      <c r="G159" s="159">
        <v>35726</v>
      </c>
      <c r="H159" s="159">
        <v>53589</v>
      </c>
    </row>
    <row r="160" spans="1:8" hidden="1" x14ac:dyDescent="0.25">
      <c r="A160" s="158">
        <v>2050</v>
      </c>
      <c r="B160" s="156" t="s">
        <v>694</v>
      </c>
      <c r="C160" s="156" t="s">
        <v>359</v>
      </c>
      <c r="D160" s="156" t="s">
        <v>203</v>
      </c>
      <c r="E160" s="156" t="s">
        <v>16</v>
      </c>
      <c r="F160" s="159">
        <v>18220</v>
      </c>
      <c r="G160" s="159">
        <v>36440</v>
      </c>
      <c r="H160" s="159">
        <v>54660</v>
      </c>
    </row>
    <row r="161" spans="1:8" hidden="1" x14ac:dyDescent="0.25">
      <c r="A161" s="158">
        <v>2051</v>
      </c>
      <c r="B161" s="156" t="s">
        <v>694</v>
      </c>
      <c r="C161" s="156" t="s">
        <v>359</v>
      </c>
      <c r="D161" s="156" t="s">
        <v>203</v>
      </c>
      <c r="E161" s="156" t="s">
        <v>17</v>
      </c>
      <c r="F161" s="159">
        <v>18584</v>
      </c>
      <c r="G161" s="159">
        <v>37169</v>
      </c>
      <c r="H161" s="159">
        <v>55754</v>
      </c>
    </row>
    <row r="162" spans="1:8" hidden="1" x14ac:dyDescent="0.25">
      <c r="A162" s="158">
        <v>2052</v>
      </c>
      <c r="B162" s="156" t="s">
        <v>694</v>
      </c>
      <c r="C162" s="156" t="s">
        <v>359</v>
      </c>
      <c r="D162" s="156" t="s">
        <v>203</v>
      </c>
      <c r="E162" s="156" t="s">
        <v>18</v>
      </c>
      <c r="F162" s="159">
        <v>18955</v>
      </c>
      <c r="G162" s="159">
        <v>37910</v>
      </c>
      <c r="H162" s="159">
        <v>56866</v>
      </c>
    </row>
    <row r="163" spans="1:8" hidden="1" x14ac:dyDescent="0.25">
      <c r="A163" s="158">
        <v>2053</v>
      </c>
      <c r="B163" s="156" t="s">
        <v>694</v>
      </c>
      <c r="C163" s="156" t="s">
        <v>359</v>
      </c>
      <c r="D163" s="156" t="s">
        <v>203</v>
      </c>
      <c r="E163" s="156" t="s">
        <v>19</v>
      </c>
      <c r="F163" s="159">
        <v>19335</v>
      </c>
      <c r="G163" s="159">
        <v>38668</v>
      </c>
      <c r="H163" s="159">
        <v>58003</v>
      </c>
    </row>
    <row r="164" spans="1:8" hidden="1" x14ac:dyDescent="0.25">
      <c r="A164" s="158">
        <v>2054</v>
      </c>
      <c r="B164" s="156" t="s">
        <v>694</v>
      </c>
      <c r="C164" s="156" t="s">
        <v>359</v>
      </c>
      <c r="D164" s="156" t="s">
        <v>203</v>
      </c>
      <c r="E164" s="156" t="s">
        <v>20</v>
      </c>
      <c r="F164" s="159">
        <v>19720</v>
      </c>
      <c r="G164" s="159">
        <v>39443</v>
      </c>
      <c r="H164" s="159">
        <v>59162</v>
      </c>
    </row>
    <row r="165" spans="1:8" hidden="1" x14ac:dyDescent="0.25">
      <c r="A165" s="158">
        <v>2055</v>
      </c>
      <c r="B165" s="156" t="s">
        <v>694</v>
      </c>
      <c r="C165" s="156" t="s">
        <v>360</v>
      </c>
      <c r="D165" s="156" t="s">
        <v>14</v>
      </c>
      <c r="E165" s="156" t="s">
        <v>15</v>
      </c>
      <c r="F165" s="159">
        <v>14084</v>
      </c>
      <c r="G165" s="159">
        <v>28169</v>
      </c>
      <c r="H165" s="159">
        <v>42254</v>
      </c>
    </row>
    <row r="166" spans="1:8" hidden="1" x14ac:dyDescent="0.25">
      <c r="A166" s="158">
        <v>2056</v>
      </c>
      <c r="B166" s="156" t="s">
        <v>694</v>
      </c>
      <c r="C166" s="156" t="s">
        <v>360</v>
      </c>
      <c r="D166" s="156" t="s">
        <v>14</v>
      </c>
      <c r="E166" s="156" t="s">
        <v>16</v>
      </c>
      <c r="F166" s="159">
        <v>14366</v>
      </c>
      <c r="G166" s="159">
        <v>28731</v>
      </c>
      <c r="H166" s="159">
        <v>43098</v>
      </c>
    </row>
    <row r="167" spans="1:8" hidden="1" x14ac:dyDescent="0.25">
      <c r="A167" s="158">
        <v>2057</v>
      </c>
      <c r="B167" s="156" t="s">
        <v>694</v>
      </c>
      <c r="C167" s="156" t="s">
        <v>360</v>
      </c>
      <c r="D167" s="156" t="s">
        <v>14</v>
      </c>
      <c r="E167" s="156" t="s">
        <v>17</v>
      </c>
      <c r="F167" s="159">
        <v>14653</v>
      </c>
      <c r="G167" s="159">
        <v>29309</v>
      </c>
      <c r="H167" s="159">
        <v>43961</v>
      </c>
    </row>
    <row r="168" spans="1:8" hidden="1" x14ac:dyDescent="0.25">
      <c r="A168" s="158">
        <v>2058</v>
      </c>
      <c r="B168" s="156" t="s">
        <v>694</v>
      </c>
      <c r="C168" s="156" t="s">
        <v>360</v>
      </c>
      <c r="D168" s="156" t="s">
        <v>14</v>
      </c>
      <c r="E168" s="156" t="s">
        <v>18</v>
      </c>
      <c r="F168" s="159">
        <v>14948</v>
      </c>
      <c r="G168" s="159">
        <v>29894</v>
      </c>
      <c r="H168" s="159">
        <v>44841</v>
      </c>
    </row>
    <row r="169" spans="1:8" hidden="1" x14ac:dyDescent="0.25">
      <c r="A169" s="158">
        <v>2059</v>
      </c>
      <c r="B169" s="156" t="s">
        <v>694</v>
      </c>
      <c r="C169" s="156" t="s">
        <v>360</v>
      </c>
      <c r="D169" s="156" t="s">
        <v>14</v>
      </c>
      <c r="E169" s="156" t="s">
        <v>19</v>
      </c>
      <c r="F169" s="159">
        <v>15245</v>
      </c>
      <c r="G169" s="159">
        <v>30490</v>
      </c>
      <c r="H169" s="159">
        <v>45735</v>
      </c>
    </row>
    <row r="170" spans="1:8" hidden="1" x14ac:dyDescent="0.25">
      <c r="A170" s="158">
        <v>2060</v>
      </c>
      <c r="B170" s="156" t="s">
        <v>694</v>
      </c>
      <c r="C170" s="156" t="s">
        <v>360</v>
      </c>
      <c r="D170" s="156" t="s">
        <v>14</v>
      </c>
      <c r="E170" s="156" t="s">
        <v>20</v>
      </c>
      <c r="F170" s="159">
        <v>15551</v>
      </c>
      <c r="G170" s="159">
        <v>31102</v>
      </c>
      <c r="H170" s="159">
        <v>46653</v>
      </c>
    </row>
    <row r="171" spans="1:8" hidden="1" x14ac:dyDescent="0.25">
      <c r="A171" s="158">
        <v>2061</v>
      </c>
      <c r="B171" s="156" t="s">
        <v>694</v>
      </c>
      <c r="C171" s="156" t="s">
        <v>360</v>
      </c>
      <c r="D171" s="156" t="s">
        <v>21</v>
      </c>
      <c r="E171" s="156" t="s">
        <v>15</v>
      </c>
      <c r="F171" s="159">
        <v>15861</v>
      </c>
      <c r="G171" s="159">
        <v>31723</v>
      </c>
      <c r="H171" s="159">
        <v>47585</v>
      </c>
    </row>
    <row r="172" spans="1:8" hidden="1" x14ac:dyDescent="0.25">
      <c r="A172" s="158">
        <v>2062</v>
      </c>
      <c r="B172" s="156" t="s">
        <v>694</v>
      </c>
      <c r="C172" s="156" t="s">
        <v>360</v>
      </c>
      <c r="D172" s="156" t="s">
        <v>21</v>
      </c>
      <c r="E172" s="156" t="s">
        <v>16</v>
      </c>
      <c r="F172" s="159">
        <v>16178</v>
      </c>
      <c r="G172" s="159">
        <v>32358</v>
      </c>
      <c r="H172" s="159">
        <v>48536</v>
      </c>
    </row>
    <row r="173" spans="1:8" hidden="1" x14ac:dyDescent="0.25">
      <c r="A173" s="158">
        <v>2063</v>
      </c>
      <c r="B173" s="156" t="s">
        <v>694</v>
      </c>
      <c r="C173" s="156" t="s">
        <v>360</v>
      </c>
      <c r="D173" s="156" t="s">
        <v>21</v>
      </c>
      <c r="E173" s="156" t="s">
        <v>17</v>
      </c>
      <c r="F173" s="159">
        <v>16502</v>
      </c>
      <c r="G173" s="159">
        <v>33003</v>
      </c>
      <c r="H173" s="159">
        <v>49504</v>
      </c>
    </row>
    <row r="174" spans="1:8" hidden="1" x14ac:dyDescent="0.25">
      <c r="A174" s="158">
        <v>2064</v>
      </c>
      <c r="B174" s="156" t="s">
        <v>694</v>
      </c>
      <c r="C174" s="156" t="s">
        <v>360</v>
      </c>
      <c r="D174" s="156" t="s">
        <v>21</v>
      </c>
      <c r="E174" s="156" t="s">
        <v>18</v>
      </c>
      <c r="F174" s="159">
        <v>16833</v>
      </c>
      <c r="G174" s="159">
        <v>33665</v>
      </c>
      <c r="H174" s="159">
        <v>50498</v>
      </c>
    </row>
    <row r="175" spans="1:8" hidden="1" x14ac:dyDescent="0.25">
      <c r="A175" s="158">
        <v>2065</v>
      </c>
      <c r="B175" s="156" t="s">
        <v>694</v>
      </c>
      <c r="C175" s="156" t="s">
        <v>360</v>
      </c>
      <c r="D175" s="156" t="s">
        <v>21</v>
      </c>
      <c r="E175" s="156" t="s">
        <v>19</v>
      </c>
      <c r="F175" s="159">
        <v>17170</v>
      </c>
      <c r="G175" s="159">
        <v>34338</v>
      </c>
      <c r="H175" s="159">
        <v>51508</v>
      </c>
    </row>
    <row r="176" spans="1:8" hidden="1" x14ac:dyDescent="0.25">
      <c r="A176" s="158">
        <v>2066</v>
      </c>
      <c r="B176" s="156" t="s">
        <v>694</v>
      </c>
      <c r="C176" s="156" t="s">
        <v>360</v>
      </c>
      <c r="D176" s="156" t="s">
        <v>21</v>
      </c>
      <c r="E176" s="156" t="s">
        <v>20</v>
      </c>
      <c r="F176" s="159">
        <v>17513</v>
      </c>
      <c r="G176" s="159">
        <v>35024</v>
      </c>
      <c r="H176" s="159">
        <v>52538</v>
      </c>
    </row>
    <row r="177" spans="1:8" hidden="1" x14ac:dyDescent="0.25">
      <c r="A177" s="158">
        <v>2067</v>
      </c>
      <c r="B177" s="156" t="s">
        <v>694</v>
      </c>
      <c r="C177" s="156" t="s">
        <v>360</v>
      </c>
      <c r="D177" s="156" t="s">
        <v>203</v>
      </c>
      <c r="E177" s="156" t="s">
        <v>15</v>
      </c>
      <c r="F177" s="159">
        <v>17863</v>
      </c>
      <c r="G177" s="159">
        <v>35726</v>
      </c>
      <c r="H177" s="159">
        <v>53589</v>
      </c>
    </row>
    <row r="178" spans="1:8" hidden="1" x14ac:dyDescent="0.25">
      <c r="A178" s="158">
        <v>2068</v>
      </c>
      <c r="B178" s="156" t="s">
        <v>694</v>
      </c>
      <c r="C178" s="156" t="s">
        <v>360</v>
      </c>
      <c r="D178" s="156" t="s">
        <v>203</v>
      </c>
      <c r="E178" s="156" t="s">
        <v>16</v>
      </c>
      <c r="F178" s="159">
        <v>18220</v>
      </c>
      <c r="G178" s="159">
        <v>36440</v>
      </c>
      <c r="H178" s="159">
        <v>54660</v>
      </c>
    </row>
    <row r="179" spans="1:8" hidden="1" x14ac:dyDescent="0.25">
      <c r="A179" s="158">
        <v>2069</v>
      </c>
      <c r="B179" s="156" t="s">
        <v>694</v>
      </c>
      <c r="C179" s="156" t="s">
        <v>360</v>
      </c>
      <c r="D179" s="156" t="s">
        <v>203</v>
      </c>
      <c r="E179" s="156" t="s">
        <v>17</v>
      </c>
      <c r="F179" s="159">
        <v>18584</v>
      </c>
      <c r="G179" s="159">
        <v>37169</v>
      </c>
      <c r="H179" s="159">
        <v>55754</v>
      </c>
    </row>
    <row r="180" spans="1:8" hidden="1" x14ac:dyDescent="0.25">
      <c r="A180" s="158">
        <v>2070</v>
      </c>
      <c r="B180" s="156" t="s">
        <v>694</v>
      </c>
      <c r="C180" s="156" t="s">
        <v>360</v>
      </c>
      <c r="D180" s="156" t="s">
        <v>203</v>
      </c>
      <c r="E180" s="156" t="s">
        <v>18</v>
      </c>
      <c r="F180" s="159">
        <v>18955</v>
      </c>
      <c r="G180" s="159">
        <v>37910</v>
      </c>
      <c r="H180" s="159">
        <v>56866</v>
      </c>
    </row>
    <row r="181" spans="1:8" hidden="1" x14ac:dyDescent="0.25">
      <c r="A181" s="158">
        <v>2071</v>
      </c>
      <c r="B181" s="156" t="s">
        <v>694</v>
      </c>
      <c r="C181" s="156" t="s">
        <v>360</v>
      </c>
      <c r="D181" s="156" t="s">
        <v>203</v>
      </c>
      <c r="E181" s="156" t="s">
        <v>19</v>
      </c>
      <c r="F181" s="159">
        <v>19335</v>
      </c>
      <c r="G181" s="159">
        <v>38668</v>
      </c>
      <c r="H181" s="159">
        <v>58003</v>
      </c>
    </row>
    <row r="182" spans="1:8" hidden="1" x14ac:dyDescent="0.25">
      <c r="A182" s="158">
        <v>2072</v>
      </c>
      <c r="B182" s="156" t="s">
        <v>694</v>
      </c>
      <c r="C182" s="156" t="s">
        <v>360</v>
      </c>
      <c r="D182" s="156" t="s">
        <v>203</v>
      </c>
      <c r="E182" s="156" t="s">
        <v>20</v>
      </c>
      <c r="F182" s="159">
        <v>19720</v>
      </c>
      <c r="G182" s="159">
        <v>39443</v>
      </c>
      <c r="H182" s="159">
        <v>59162</v>
      </c>
    </row>
    <row r="183" spans="1:8" hidden="1" x14ac:dyDescent="0.25">
      <c r="A183" s="158">
        <v>2073</v>
      </c>
      <c r="B183" s="156" t="s">
        <v>694</v>
      </c>
      <c r="C183" s="156" t="s">
        <v>182</v>
      </c>
      <c r="D183" s="156" t="s">
        <v>22</v>
      </c>
      <c r="E183" s="156" t="s">
        <v>16</v>
      </c>
      <c r="F183" s="159">
        <v>49182</v>
      </c>
      <c r="G183" s="159">
        <v>98366</v>
      </c>
      <c r="H183" s="156" t="s">
        <v>708</v>
      </c>
    </row>
    <row r="184" spans="1:8" hidden="1" x14ac:dyDescent="0.25">
      <c r="A184" s="158">
        <v>2074</v>
      </c>
      <c r="B184" s="156" t="s">
        <v>694</v>
      </c>
      <c r="C184" s="156" t="s">
        <v>182</v>
      </c>
      <c r="D184" s="156" t="s">
        <v>22</v>
      </c>
      <c r="E184" s="156" t="s">
        <v>17</v>
      </c>
      <c r="F184" s="159">
        <v>50167</v>
      </c>
      <c r="G184" s="156" t="s">
        <v>709</v>
      </c>
      <c r="H184" s="156" t="s">
        <v>710</v>
      </c>
    </row>
    <row r="185" spans="1:8" hidden="1" x14ac:dyDescent="0.25">
      <c r="A185" s="158">
        <v>2075</v>
      </c>
      <c r="B185" s="156" t="s">
        <v>694</v>
      </c>
      <c r="C185" s="156" t="s">
        <v>182</v>
      </c>
      <c r="D185" s="156" t="s">
        <v>22</v>
      </c>
      <c r="E185" s="156" t="s">
        <v>18</v>
      </c>
      <c r="F185" s="159">
        <v>51170</v>
      </c>
      <c r="G185" s="156" t="s">
        <v>711</v>
      </c>
      <c r="H185" s="156" t="s">
        <v>712</v>
      </c>
    </row>
    <row r="186" spans="1:8" hidden="1" x14ac:dyDescent="0.25">
      <c r="A186" s="158">
        <v>2076</v>
      </c>
      <c r="B186" s="156" t="s">
        <v>694</v>
      </c>
      <c r="C186" s="156" t="s">
        <v>182</v>
      </c>
      <c r="D186" s="156" t="s">
        <v>22</v>
      </c>
      <c r="E186" s="156" t="s">
        <v>19</v>
      </c>
      <c r="F186" s="159">
        <v>52192</v>
      </c>
      <c r="G186" s="156" t="s">
        <v>713</v>
      </c>
      <c r="H186" s="156" t="s">
        <v>714</v>
      </c>
    </row>
    <row r="187" spans="1:8" hidden="1" x14ac:dyDescent="0.25">
      <c r="A187" s="158">
        <v>2077</v>
      </c>
      <c r="B187" s="156" t="s">
        <v>694</v>
      </c>
      <c r="C187" s="156" t="s">
        <v>182</v>
      </c>
      <c r="D187" s="156" t="s">
        <v>22</v>
      </c>
      <c r="E187" s="156" t="s">
        <v>20</v>
      </c>
      <c r="F187" s="159">
        <v>53237</v>
      </c>
      <c r="G187" s="156" t="s">
        <v>715</v>
      </c>
      <c r="H187" s="156" t="s">
        <v>716</v>
      </c>
    </row>
    <row r="188" spans="1:8" hidden="1" x14ac:dyDescent="0.25">
      <c r="A188" s="158">
        <v>2078</v>
      </c>
      <c r="B188" s="156" t="s">
        <v>694</v>
      </c>
      <c r="C188" s="156" t="s">
        <v>287</v>
      </c>
      <c r="D188" s="156" t="s">
        <v>22</v>
      </c>
      <c r="E188" s="156" t="s">
        <v>15</v>
      </c>
      <c r="F188" s="159">
        <v>48218</v>
      </c>
      <c r="G188" s="159">
        <v>96437</v>
      </c>
      <c r="H188" s="156" t="s">
        <v>707</v>
      </c>
    </row>
    <row r="189" spans="1:8" hidden="1" x14ac:dyDescent="0.25">
      <c r="A189" s="158">
        <v>2079</v>
      </c>
      <c r="B189" s="156" t="s">
        <v>694</v>
      </c>
      <c r="C189" s="156" t="s">
        <v>287</v>
      </c>
      <c r="D189" s="156" t="s">
        <v>22</v>
      </c>
      <c r="E189" s="156" t="s">
        <v>16</v>
      </c>
      <c r="F189" s="159">
        <v>49182</v>
      </c>
      <c r="G189" s="159">
        <v>98366</v>
      </c>
      <c r="H189" s="156" t="s">
        <v>708</v>
      </c>
    </row>
    <row r="190" spans="1:8" hidden="1" x14ac:dyDescent="0.25">
      <c r="A190" s="158">
        <v>2080</v>
      </c>
      <c r="B190" s="156" t="s">
        <v>694</v>
      </c>
      <c r="C190" s="156" t="s">
        <v>287</v>
      </c>
      <c r="D190" s="156" t="s">
        <v>22</v>
      </c>
      <c r="E190" s="156" t="s">
        <v>17</v>
      </c>
      <c r="F190" s="159">
        <v>50167</v>
      </c>
      <c r="G190" s="156" t="s">
        <v>709</v>
      </c>
      <c r="H190" s="156" t="s">
        <v>710</v>
      </c>
    </row>
    <row r="191" spans="1:8" hidden="1" x14ac:dyDescent="0.25">
      <c r="A191" s="158">
        <v>2081</v>
      </c>
      <c r="B191" s="156" t="s">
        <v>694</v>
      </c>
      <c r="C191" s="156" t="s">
        <v>287</v>
      </c>
      <c r="D191" s="156" t="s">
        <v>22</v>
      </c>
      <c r="E191" s="156" t="s">
        <v>18</v>
      </c>
      <c r="F191" s="159">
        <v>51170</v>
      </c>
      <c r="G191" s="156" t="s">
        <v>711</v>
      </c>
      <c r="H191" s="156" t="s">
        <v>712</v>
      </c>
    </row>
    <row r="192" spans="1:8" hidden="1" x14ac:dyDescent="0.25">
      <c r="A192" s="158">
        <v>2082</v>
      </c>
      <c r="B192" s="156" t="s">
        <v>694</v>
      </c>
      <c r="C192" s="156" t="s">
        <v>287</v>
      </c>
      <c r="D192" s="156" t="s">
        <v>22</v>
      </c>
      <c r="E192" s="156" t="s">
        <v>19</v>
      </c>
      <c r="F192" s="159">
        <v>52192</v>
      </c>
      <c r="G192" s="156" t="s">
        <v>713</v>
      </c>
      <c r="H192" s="156" t="s">
        <v>714</v>
      </c>
    </row>
    <row r="193" spans="1:8" hidden="1" x14ac:dyDescent="0.25">
      <c r="A193" s="158">
        <v>2083</v>
      </c>
      <c r="B193" s="156" t="s">
        <v>694</v>
      </c>
      <c r="C193" s="156" t="s">
        <v>287</v>
      </c>
      <c r="D193" s="156" t="s">
        <v>22</v>
      </c>
      <c r="E193" s="156" t="s">
        <v>20</v>
      </c>
      <c r="F193" s="159">
        <v>53237</v>
      </c>
      <c r="G193" s="156" t="s">
        <v>715</v>
      </c>
      <c r="H193" s="156" t="s">
        <v>716</v>
      </c>
    </row>
    <row r="194" spans="1:8" hidden="1" x14ac:dyDescent="0.25">
      <c r="A194" s="158">
        <v>2084</v>
      </c>
      <c r="B194" s="156" t="s">
        <v>694</v>
      </c>
      <c r="C194" s="156" t="s">
        <v>290</v>
      </c>
      <c r="D194" s="156" t="s">
        <v>22</v>
      </c>
      <c r="E194" s="156" t="s">
        <v>15</v>
      </c>
      <c r="F194" s="159">
        <v>48218</v>
      </c>
      <c r="G194" s="159">
        <v>96437</v>
      </c>
      <c r="H194" s="156" t="s">
        <v>707</v>
      </c>
    </row>
    <row r="195" spans="1:8" hidden="1" x14ac:dyDescent="0.25">
      <c r="A195" s="158">
        <v>2085</v>
      </c>
      <c r="B195" s="156" t="s">
        <v>694</v>
      </c>
      <c r="C195" s="156" t="s">
        <v>290</v>
      </c>
      <c r="D195" s="156" t="s">
        <v>22</v>
      </c>
      <c r="E195" s="156" t="s">
        <v>16</v>
      </c>
      <c r="F195" s="159">
        <v>49182</v>
      </c>
      <c r="G195" s="159">
        <v>98366</v>
      </c>
      <c r="H195" s="156" t="s">
        <v>708</v>
      </c>
    </row>
    <row r="196" spans="1:8" hidden="1" x14ac:dyDescent="0.25">
      <c r="A196" s="158">
        <v>2086</v>
      </c>
      <c r="B196" s="156" t="s">
        <v>694</v>
      </c>
      <c r="C196" s="156" t="s">
        <v>290</v>
      </c>
      <c r="D196" s="156" t="s">
        <v>22</v>
      </c>
      <c r="E196" s="156" t="s">
        <v>17</v>
      </c>
      <c r="F196" s="159">
        <v>50167</v>
      </c>
      <c r="G196" s="156" t="s">
        <v>709</v>
      </c>
      <c r="H196" s="156" t="s">
        <v>710</v>
      </c>
    </row>
    <row r="197" spans="1:8" hidden="1" x14ac:dyDescent="0.25">
      <c r="A197" s="158">
        <v>2087</v>
      </c>
      <c r="B197" s="156" t="s">
        <v>694</v>
      </c>
      <c r="C197" s="156" t="s">
        <v>290</v>
      </c>
      <c r="D197" s="156" t="s">
        <v>22</v>
      </c>
      <c r="E197" s="156" t="s">
        <v>18</v>
      </c>
      <c r="F197" s="159">
        <v>51170</v>
      </c>
      <c r="G197" s="156" t="s">
        <v>711</v>
      </c>
      <c r="H197" s="156" t="s">
        <v>712</v>
      </c>
    </row>
    <row r="198" spans="1:8" hidden="1" x14ac:dyDescent="0.25">
      <c r="A198" s="158">
        <v>2088</v>
      </c>
      <c r="B198" s="156" t="s">
        <v>694</v>
      </c>
      <c r="C198" s="156" t="s">
        <v>290</v>
      </c>
      <c r="D198" s="156" t="s">
        <v>22</v>
      </c>
      <c r="E198" s="156" t="s">
        <v>19</v>
      </c>
      <c r="F198" s="159">
        <v>52192</v>
      </c>
      <c r="G198" s="156" t="s">
        <v>713</v>
      </c>
      <c r="H198" s="156" t="s">
        <v>714</v>
      </c>
    </row>
    <row r="199" spans="1:8" hidden="1" x14ac:dyDescent="0.25">
      <c r="A199" s="158">
        <v>2089</v>
      </c>
      <c r="B199" s="156" t="s">
        <v>694</v>
      </c>
      <c r="C199" s="156" t="s">
        <v>290</v>
      </c>
      <c r="D199" s="156" t="s">
        <v>22</v>
      </c>
      <c r="E199" s="156" t="s">
        <v>20</v>
      </c>
      <c r="F199" s="159">
        <v>53237</v>
      </c>
      <c r="G199" s="156" t="s">
        <v>715</v>
      </c>
      <c r="H199" s="156" t="s">
        <v>716</v>
      </c>
    </row>
    <row r="200" spans="1:8" hidden="1" x14ac:dyDescent="0.25">
      <c r="A200" s="158">
        <v>2090</v>
      </c>
      <c r="B200" s="156" t="s">
        <v>694</v>
      </c>
      <c r="C200" s="156" t="s">
        <v>234</v>
      </c>
      <c r="D200" s="156" t="s">
        <v>22</v>
      </c>
      <c r="E200" s="156" t="s">
        <v>15</v>
      </c>
      <c r="F200" s="159">
        <v>25608</v>
      </c>
      <c r="G200" s="159">
        <v>51218</v>
      </c>
      <c r="H200" s="159">
        <v>76826</v>
      </c>
    </row>
    <row r="201" spans="1:8" hidden="1" x14ac:dyDescent="0.25">
      <c r="A201" s="158">
        <v>2091</v>
      </c>
      <c r="B201" s="156" t="s">
        <v>694</v>
      </c>
      <c r="C201" s="156" t="s">
        <v>234</v>
      </c>
      <c r="D201" s="156" t="s">
        <v>22</v>
      </c>
      <c r="E201" s="156" t="s">
        <v>16</v>
      </c>
      <c r="F201" s="159">
        <v>26123</v>
      </c>
      <c r="G201" s="159">
        <v>52243</v>
      </c>
      <c r="H201" s="159">
        <v>78366</v>
      </c>
    </row>
    <row r="202" spans="1:8" hidden="1" x14ac:dyDescent="0.25">
      <c r="A202" s="158">
        <v>2092</v>
      </c>
      <c r="B202" s="156" t="s">
        <v>694</v>
      </c>
      <c r="C202" s="156" t="s">
        <v>234</v>
      </c>
      <c r="D202" s="156" t="s">
        <v>22</v>
      </c>
      <c r="E202" s="156" t="s">
        <v>17</v>
      </c>
      <c r="F202" s="159">
        <v>26645</v>
      </c>
      <c r="G202" s="159">
        <v>53288</v>
      </c>
      <c r="H202" s="159">
        <v>79932</v>
      </c>
    </row>
    <row r="203" spans="1:8" hidden="1" x14ac:dyDescent="0.25">
      <c r="A203" s="158">
        <v>2093</v>
      </c>
      <c r="B203" s="156" t="s">
        <v>694</v>
      </c>
      <c r="C203" s="156" t="s">
        <v>234</v>
      </c>
      <c r="D203" s="156" t="s">
        <v>22</v>
      </c>
      <c r="E203" s="156" t="s">
        <v>18</v>
      </c>
      <c r="F203" s="159">
        <v>27177</v>
      </c>
      <c r="G203" s="159">
        <v>54354</v>
      </c>
      <c r="H203" s="159">
        <v>81533</v>
      </c>
    </row>
    <row r="204" spans="1:8" hidden="1" x14ac:dyDescent="0.25">
      <c r="A204" s="158">
        <v>2094</v>
      </c>
      <c r="B204" s="156" t="s">
        <v>694</v>
      </c>
      <c r="C204" s="156" t="s">
        <v>234</v>
      </c>
      <c r="D204" s="156" t="s">
        <v>22</v>
      </c>
      <c r="E204" s="156" t="s">
        <v>19</v>
      </c>
      <c r="F204" s="159">
        <v>27721</v>
      </c>
      <c r="G204" s="159">
        <v>55441</v>
      </c>
      <c r="H204" s="159">
        <v>83163</v>
      </c>
    </row>
    <row r="205" spans="1:8" hidden="1" x14ac:dyDescent="0.25">
      <c r="A205" s="158">
        <v>2095</v>
      </c>
      <c r="B205" s="156" t="s">
        <v>694</v>
      </c>
      <c r="C205" s="156" t="s">
        <v>234</v>
      </c>
      <c r="D205" s="156" t="s">
        <v>22</v>
      </c>
      <c r="E205" s="156" t="s">
        <v>20</v>
      </c>
      <c r="F205" s="159">
        <v>28275</v>
      </c>
      <c r="G205" s="159">
        <v>56550</v>
      </c>
      <c r="H205" s="159">
        <v>84826</v>
      </c>
    </row>
    <row r="206" spans="1:8" hidden="1" x14ac:dyDescent="0.25">
      <c r="A206" s="158">
        <v>2096</v>
      </c>
      <c r="B206" s="156" t="s">
        <v>694</v>
      </c>
      <c r="C206" s="156" t="s">
        <v>305</v>
      </c>
      <c r="D206" s="156" t="s">
        <v>22</v>
      </c>
      <c r="E206" s="156" t="s">
        <v>15</v>
      </c>
      <c r="F206" s="159">
        <v>25608</v>
      </c>
      <c r="G206" s="159">
        <v>51218</v>
      </c>
      <c r="H206" s="159">
        <v>76826</v>
      </c>
    </row>
    <row r="207" spans="1:8" hidden="1" x14ac:dyDescent="0.25">
      <c r="A207" s="158">
        <v>2097</v>
      </c>
      <c r="B207" s="156" t="s">
        <v>694</v>
      </c>
      <c r="C207" s="156" t="s">
        <v>305</v>
      </c>
      <c r="D207" s="156" t="s">
        <v>22</v>
      </c>
      <c r="E207" s="156" t="s">
        <v>16</v>
      </c>
      <c r="F207" s="159">
        <v>26123</v>
      </c>
      <c r="G207" s="159">
        <v>52243</v>
      </c>
      <c r="H207" s="159">
        <v>78366</v>
      </c>
    </row>
    <row r="208" spans="1:8" hidden="1" x14ac:dyDescent="0.25">
      <c r="A208" s="158">
        <v>2098</v>
      </c>
      <c r="B208" s="156" t="s">
        <v>694</v>
      </c>
      <c r="C208" s="156" t="s">
        <v>305</v>
      </c>
      <c r="D208" s="156" t="s">
        <v>22</v>
      </c>
      <c r="E208" s="156" t="s">
        <v>17</v>
      </c>
      <c r="F208" s="159">
        <v>26645</v>
      </c>
      <c r="G208" s="159">
        <v>53288</v>
      </c>
      <c r="H208" s="159">
        <v>79932</v>
      </c>
    </row>
    <row r="209" spans="1:8" hidden="1" x14ac:dyDescent="0.25">
      <c r="A209" s="158">
        <v>2099</v>
      </c>
      <c r="B209" s="156" t="s">
        <v>694</v>
      </c>
      <c r="C209" s="156" t="s">
        <v>305</v>
      </c>
      <c r="D209" s="156" t="s">
        <v>22</v>
      </c>
      <c r="E209" s="156" t="s">
        <v>18</v>
      </c>
      <c r="F209" s="159">
        <v>27177</v>
      </c>
      <c r="G209" s="159">
        <v>54354</v>
      </c>
      <c r="H209" s="159">
        <v>81533</v>
      </c>
    </row>
    <row r="210" spans="1:8" hidden="1" x14ac:dyDescent="0.25">
      <c r="A210" s="158">
        <v>2100</v>
      </c>
      <c r="B210" s="156" t="s">
        <v>694</v>
      </c>
      <c r="C210" s="156" t="s">
        <v>305</v>
      </c>
      <c r="D210" s="156" t="s">
        <v>22</v>
      </c>
      <c r="E210" s="156" t="s">
        <v>19</v>
      </c>
      <c r="F210" s="159">
        <v>27721</v>
      </c>
      <c r="G210" s="159">
        <v>55441</v>
      </c>
      <c r="H210" s="159">
        <v>83163</v>
      </c>
    </row>
    <row r="211" spans="1:8" hidden="1" x14ac:dyDescent="0.25">
      <c r="A211" s="158">
        <v>2101</v>
      </c>
      <c r="B211" s="156" t="s">
        <v>694</v>
      </c>
      <c r="C211" s="156" t="s">
        <v>305</v>
      </c>
      <c r="D211" s="156" t="s">
        <v>22</v>
      </c>
      <c r="E211" s="156" t="s">
        <v>20</v>
      </c>
      <c r="F211" s="159">
        <v>28275</v>
      </c>
      <c r="G211" s="159">
        <v>56550</v>
      </c>
      <c r="H211" s="159">
        <v>84826</v>
      </c>
    </row>
    <row r="212" spans="1:8" hidden="1" x14ac:dyDescent="0.25">
      <c r="A212" s="158">
        <v>2102</v>
      </c>
      <c r="B212" s="156" t="s">
        <v>694</v>
      </c>
      <c r="C212" s="156" t="s">
        <v>328</v>
      </c>
      <c r="D212" s="156" t="s">
        <v>22</v>
      </c>
      <c r="E212" s="156" t="s">
        <v>15</v>
      </c>
      <c r="F212" s="159">
        <v>30947</v>
      </c>
      <c r="G212" s="159">
        <v>61893</v>
      </c>
      <c r="H212" s="159">
        <v>92840</v>
      </c>
    </row>
    <row r="213" spans="1:8" hidden="1" x14ac:dyDescent="0.25">
      <c r="A213" s="158">
        <v>2103</v>
      </c>
      <c r="B213" s="156" t="s">
        <v>694</v>
      </c>
      <c r="C213" s="156" t="s">
        <v>328</v>
      </c>
      <c r="D213" s="156" t="s">
        <v>22</v>
      </c>
      <c r="E213" s="156" t="s">
        <v>16</v>
      </c>
      <c r="F213" s="159">
        <v>31565</v>
      </c>
      <c r="G213" s="159">
        <v>63130</v>
      </c>
      <c r="H213" s="159">
        <v>94694</v>
      </c>
    </row>
    <row r="214" spans="1:8" hidden="1" x14ac:dyDescent="0.25">
      <c r="A214" s="158">
        <v>2104</v>
      </c>
      <c r="B214" s="156" t="s">
        <v>694</v>
      </c>
      <c r="C214" s="156" t="s">
        <v>328</v>
      </c>
      <c r="D214" s="156" t="s">
        <v>22</v>
      </c>
      <c r="E214" s="156" t="s">
        <v>17</v>
      </c>
      <c r="F214" s="159">
        <v>32196</v>
      </c>
      <c r="G214" s="159">
        <v>64393</v>
      </c>
      <c r="H214" s="159">
        <v>96590</v>
      </c>
    </row>
    <row r="215" spans="1:8" hidden="1" x14ac:dyDescent="0.25">
      <c r="A215" s="158">
        <v>2105</v>
      </c>
      <c r="B215" s="156" t="s">
        <v>694</v>
      </c>
      <c r="C215" s="156" t="s">
        <v>328</v>
      </c>
      <c r="D215" s="156" t="s">
        <v>22</v>
      </c>
      <c r="E215" s="156" t="s">
        <v>18</v>
      </c>
      <c r="F215" s="159">
        <v>32840</v>
      </c>
      <c r="G215" s="159">
        <v>65681</v>
      </c>
      <c r="H215" s="159">
        <v>98520</v>
      </c>
    </row>
    <row r="216" spans="1:8" hidden="1" x14ac:dyDescent="0.25">
      <c r="A216" s="158">
        <v>2106</v>
      </c>
      <c r="B216" s="156" t="s">
        <v>694</v>
      </c>
      <c r="C216" s="156" t="s">
        <v>328</v>
      </c>
      <c r="D216" s="156" t="s">
        <v>22</v>
      </c>
      <c r="E216" s="156" t="s">
        <v>19</v>
      </c>
      <c r="F216" s="159">
        <v>33497</v>
      </c>
      <c r="G216" s="159">
        <v>66994</v>
      </c>
      <c r="H216" s="156" t="s">
        <v>717</v>
      </c>
    </row>
    <row r="217" spans="1:8" hidden="1" x14ac:dyDescent="0.25">
      <c r="A217" s="158">
        <v>2107</v>
      </c>
      <c r="B217" s="156" t="s">
        <v>694</v>
      </c>
      <c r="C217" s="156" t="s">
        <v>328</v>
      </c>
      <c r="D217" s="156" t="s">
        <v>22</v>
      </c>
      <c r="E217" s="156" t="s">
        <v>20</v>
      </c>
      <c r="F217" s="159">
        <v>34173</v>
      </c>
      <c r="G217" s="159">
        <v>68334</v>
      </c>
      <c r="H217" s="156" t="s">
        <v>718</v>
      </c>
    </row>
    <row r="218" spans="1:8" hidden="1" x14ac:dyDescent="0.25">
      <c r="A218" s="158">
        <v>2108</v>
      </c>
      <c r="B218" s="156" t="s">
        <v>694</v>
      </c>
      <c r="C218" s="156" t="s">
        <v>361</v>
      </c>
      <c r="D218" s="156" t="s">
        <v>22</v>
      </c>
      <c r="E218" s="156" t="s">
        <v>15</v>
      </c>
      <c r="F218" s="159">
        <v>21089</v>
      </c>
      <c r="G218" s="159">
        <v>42180</v>
      </c>
      <c r="H218" s="159">
        <v>63269</v>
      </c>
    </row>
    <row r="219" spans="1:8" hidden="1" x14ac:dyDescent="0.25">
      <c r="A219" s="158">
        <v>2109</v>
      </c>
      <c r="B219" s="156" t="s">
        <v>694</v>
      </c>
      <c r="C219" s="156" t="s">
        <v>361</v>
      </c>
      <c r="D219" s="156" t="s">
        <v>22</v>
      </c>
      <c r="E219" s="156" t="s">
        <v>16</v>
      </c>
      <c r="F219" s="159">
        <v>21512</v>
      </c>
      <c r="G219" s="159">
        <v>43023</v>
      </c>
      <c r="H219" s="159">
        <v>64536</v>
      </c>
    </row>
    <row r="220" spans="1:8" hidden="1" x14ac:dyDescent="0.25">
      <c r="A220" s="158">
        <v>2110</v>
      </c>
      <c r="B220" s="156" t="s">
        <v>694</v>
      </c>
      <c r="C220" s="156" t="s">
        <v>361</v>
      </c>
      <c r="D220" s="156" t="s">
        <v>22</v>
      </c>
      <c r="E220" s="156" t="s">
        <v>17</v>
      </c>
      <c r="F220" s="159">
        <v>21942</v>
      </c>
      <c r="G220" s="159">
        <v>43884</v>
      </c>
      <c r="H220" s="159">
        <v>65826</v>
      </c>
    </row>
    <row r="221" spans="1:8" hidden="1" x14ac:dyDescent="0.25">
      <c r="A221" s="158">
        <v>2111</v>
      </c>
      <c r="B221" s="156" t="s">
        <v>694</v>
      </c>
      <c r="C221" s="156" t="s">
        <v>361</v>
      </c>
      <c r="D221" s="156" t="s">
        <v>22</v>
      </c>
      <c r="E221" s="156" t="s">
        <v>18</v>
      </c>
      <c r="F221" s="159">
        <v>22380</v>
      </c>
      <c r="G221" s="159">
        <v>44763</v>
      </c>
      <c r="H221" s="159">
        <v>67142</v>
      </c>
    </row>
    <row r="222" spans="1:8" hidden="1" x14ac:dyDescent="0.25">
      <c r="A222" s="158">
        <v>2112</v>
      </c>
      <c r="B222" s="156" t="s">
        <v>694</v>
      </c>
      <c r="C222" s="156" t="s">
        <v>361</v>
      </c>
      <c r="D222" s="156" t="s">
        <v>22</v>
      </c>
      <c r="E222" s="156" t="s">
        <v>19</v>
      </c>
      <c r="F222" s="159">
        <v>22827</v>
      </c>
      <c r="G222" s="159">
        <v>45655</v>
      </c>
      <c r="H222" s="159">
        <v>68484</v>
      </c>
    </row>
    <row r="223" spans="1:8" hidden="1" x14ac:dyDescent="0.25">
      <c r="A223" s="158">
        <v>2113</v>
      </c>
      <c r="B223" s="156" t="s">
        <v>694</v>
      </c>
      <c r="C223" s="156" t="s">
        <v>361</v>
      </c>
      <c r="D223" s="156" t="s">
        <v>22</v>
      </c>
      <c r="E223" s="156" t="s">
        <v>20</v>
      </c>
      <c r="F223" s="159">
        <v>23284</v>
      </c>
      <c r="G223" s="159">
        <v>46570</v>
      </c>
      <c r="H223" s="159">
        <v>69854</v>
      </c>
    </row>
    <row r="224" spans="1:8" x14ac:dyDescent="0.25">
      <c r="A224" s="158">
        <v>2114</v>
      </c>
      <c r="B224" s="156" t="s">
        <v>694</v>
      </c>
      <c r="C224" s="156" t="s">
        <v>262</v>
      </c>
      <c r="D224" s="156" t="s">
        <v>22</v>
      </c>
      <c r="E224" s="156" t="s">
        <v>15</v>
      </c>
      <c r="F224" s="159">
        <v>17863</v>
      </c>
      <c r="G224" s="159">
        <v>35726</v>
      </c>
      <c r="H224" s="159">
        <v>53589</v>
      </c>
    </row>
    <row r="225" spans="1:8" x14ac:dyDescent="0.25">
      <c r="A225" s="158">
        <v>2115</v>
      </c>
      <c r="B225" s="156" t="s">
        <v>694</v>
      </c>
      <c r="C225" s="156" t="s">
        <v>262</v>
      </c>
      <c r="D225" s="156" t="s">
        <v>22</v>
      </c>
      <c r="E225" s="156" t="s">
        <v>16</v>
      </c>
      <c r="F225" s="159">
        <v>18220</v>
      </c>
      <c r="G225" s="159">
        <v>36440</v>
      </c>
      <c r="H225" s="159">
        <v>54660</v>
      </c>
    </row>
    <row r="226" spans="1:8" x14ac:dyDescent="0.25">
      <c r="A226" s="158">
        <v>2116</v>
      </c>
      <c r="B226" s="156" t="s">
        <v>694</v>
      </c>
      <c r="C226" s="156" t="s">
        <v>262</v>
      </c>
      <c r="D226" s="156" t="s">
        <v>22</v>
      </c>
      <c r="E226" s="156" t="s">
        <v>17</v>
      </c>
      <c r="F226" s="159">
        <v>18584</v>
      </c>
      <c r="G226" s="159">
        <v>37169</v>
      </c>
      <c r="H226" s="159">
        <v>55754</v>
      </c>
    </row>
    <row r="227" spans="1:8" x14ac:dyDescent="0.25">
      <c r="A227" s="158">
        <v>2117</v>
      </c>
      <c r="B227" s="156" t="s">
        <v>694</v>
      </c>
      <c r="C227" s="156" t="s">
        <v>262</v>
      </c>
      <c r="D227" s="156" t="s">
        <v>22</v>
      </c>
      <c r="E227" s="156" t="s">
        <v>18</v>
      </c>
      <c r="F227" s="159">
        <v>18955</v>
      </c>
      <c r="G227" s="159">
        <v>37910</v>
      </c>
      <c r="H227" s="159">
        <v>56866</v>
      </c>
    </row>
    <row r="228" spans="1:8" x14ac:dyDescent="0.25">
      <c r="A228" s="158">
        <v>2118</v>
      </c>
      <c r="B228" s="156" t="s">
        <v>694</v>
      </c>
      <c r="C228" s="156" t="s">
        <v>262</v>
      </c>
      <c r="D228" s="156" t="s">
        <v>22</v>
      </c>
      <c r="E228" s="156" t="s">
        <v>19</v>
      </c>
      <c r="F228" s="159">
        <v>19335</v>
      </c>
      <c r="G228" s="159">
        <v>38668</v>
      </c>
      <c r="H228" s="159">
        <v>58003</v>
      </c>
    </row>
    <row r="229" spans="1:8" x14ac:dyDescent="0.25">
      <c r="A229" s="158">
        <v>2119</v>
      </c>
      <c r="B229" s="156" t="s">
        <v>694</v>
      </c>
      <c r="C229" s="156" t="s">
        <v>262</v>
      </c>
      <c r="D229" s="156" t="s">
        <v>22</v>
      </c>
      <c r="E229" s="156" t="s">
        <v>20</v>
      </c>
      <c r="F229" s="159">
        <v>19720</v>
      </c>
      <c r="G229" s="159">
        <v>39443</v>
      </c>
      <c r="H229" s="159">
        <v>59162</v>
      </c>
    </row>
    <row r="230" spans="1:8" hidden="1" x14ac:dyDescent="0.25">
      <c r="A230" s="158">
        <v>2120</v>
      </c>
      <c r="B230" s="156" t="s">
        <v>694</v>
      </c>
      <c r="C230" s="156" t="s">
        <v>359</v>
      </c>
      <c r="D230" s="156" t="s">
        <v>22</v>
      </c>
      <c r="E230" s="156" t="s">
        <v>15</v>
      </c>
      <c r="F230" s="159">
        <v>17863</v>
      </c>
      <c r="G230" s="159">
        <v>35726</v>
      </c>
      <c r="H230" s="159">
        <v>53589</v>
      </c>
    </row>
    <row r="231" spans="1:8" hidden="1" x14ac:dyDescent="0.25">
      <c r="A231" s="158">
        <v>2121</v>
      </c>
      <c r="B231" s="156" t="s">
        <v>694</v>
      </c>
      <c r="C231" s="156" t="s">
        <v>359</v>
      </c>
      <c r="D231" s="156" t="s">
        <v>22</v>
      </c>
      <c r="E231" s="156" t="s">
        <v>16</v>
      </c>
      <c r="F231" s="159">
        <v>18220</v>
      </c>
      <c r="G231" s="159">
        <v>36440</v>
      </c>
      <c r="H231" s="159">
        <v>54660</v>
      </c>
    </row>
    <row r="232" spans="1:8" hidden="1" x14ac:dyDescent="0.25">
      <c r="A232" s="158">
        <v>2122</v>
      </c>
      <c r="B232" s="156" t="s">
        <v>694</v>
      </c>
      <c r="C232" s="156" t="s">
        <v>359</v>
      </c>
      <c r="D232" s="156" t="s">
        <v>22</v>
      </c>
      <c r="E232" s="156" t="s">
        <v>17</v>
      </c>
      <c r="F232" s="159">
        <v>18584</v>
      </c>
      <c r="G232" s="159">
        <v>37169</v>
      </c>
      <c r="H232" s="159">
        <v>55754</v>
      </c>
    </row>
    <row r="233" spans="1:8" hidden="1" x14ac:dyDescent="0.25">
      <c r="A233" s="158">
        <v>2123</v>
      </c>
      <c r="B233" s="156" t="s">
        <v>694</v>
      </c>
      <c r="C233" s="156" t="s">
        <v>359</v>
      </c>
      <c r="D233" s="156" t="s">
        <v>22</v>
      </c>
      <c r="E233" s="156" t="s">
        <v>18</v>
      </c>
      <c r="F233" s="159">
        <v>18955</v>
      </c>
      <c r="G233" s="159">
        <v>37910</v>
      </c>
      <c r="H233" s="159">
        <v>56866</v>
      </c>
    </row>
    <row r="234" spans="1:8" hidden="1" x14ac:dyDescent="0.25">
      <c r="A234" s="158">
        <v>2124</v>
      </c>
      <c r="B234" s="156" t="s">
        <v>694</v>
      </c>
      <c r="C234" s="156" t="s">
        <v>359</v>
      </c>
      <c r="D234" s="156" t="s">
        <v>22</v>
      </c>
      <c r="E234" s="156" t="s">
        <v>19</v>
      </c>
      <c r="F234" s="159">
        <v>19335</v>
      </c>
      <c r="G234" s="159">
        <v>38668</v>
      </c>
      <c r="H234" s="159">
        <v>58003</v>
      </c>
    </row>
    <row r="235" spans="1:8" hidden="1" x14ac:dyDescent="0.25">
      <c r="A235" s="158">
        <v>2125</v>
      </c>
      <c r="B235" s="156" t="s">
        <v>694</v>
      </c>
      <c r="C235" s="156" t="s">
        <v>359</v>
      </c>
      <c r="D235" s="156" t="s">
        <v>22</v>
      </c>
      <c r="E235" s="156" t="s">
        <v>20</v>
      </c>
      <c r="F235" s="159">
        <v>19720</v>
      </c>
      <c r="G235" s="159">
        <v>39443</v>
      </c>
      <c r="H235" s="159">
        <v>59162</v>
      </c>
    </row>
    <row r="236" spans="1:8" hidden="1" x14ac:dyDescent="0.25">
      <c r="A236" s="158">
        <v>2126</v>
      </c>
      <c r="B236" s="156" t="s">
        <v>694</v>
      </c>
      <c r="C236" s="156" t="s">
        <v>360</v>
      </c>
      <c r="D236" s="156" t="s">
        <v>22</v>
      </c>
      <c r="E236" s="156" t="s">
        <v>15</v>
      </c>
      <c r="F236" s="159">
        <v>17863</v>
      </c>
      <c r="G236" s="159">
        <v>35726</v>
      </c>
      <c r="H236" s="159">
        <v>53589</v>
      </c>
    </row>
    <row r="237" spans="1:8" hidden="1" x14ac:dyDescent="0.25">
      <c r="A237" s="158">
        <v>2127</v>
      </c>
      <c r="B237" s="156" t="s">
        <v>694</v>
      </c>
      <c r="C237" s="156" t="s">
        <v>360</v>
      </c>
      <c r="D237" s="156" t="s">
        <v>22</v>
      </c>
      <c r="E237" s="156" t="s">
        <v>16</v>
      </c>
      <c r="F237" s="159">
        <v>18220</v>
      </c>
      <c r="G237" s="159">
        <v>36440</v>
      </c>
      <c r="H237" s="159">
        <v>54660</v>
      </c>
    </row>
    <row r="238" spans="1:8" hidden="1" x14ac:dyDescent="0.25">
      <c r="A238" s="158">
        <v>2128</v>
      </c>
      <c r="B238" s="156" t="s">
        <v>694</v>
      </c>
      <c r="C238" s="156" t="s">
        <v>360</v>
      </c>
      <c r="D238" s="156" t="s">
        <v>22</v>
      </c>
      <c r="E238" s="156" t="s">
        <v>17</v>
      </c>
      <c r="F238" s="159">
        <v>18584</v>
      </c>
      <c r="G238" s="159">
        <v>37169</v>
      </c>
      <c r="H238" s="159">
        <v>55754</v>
      </c>
    </row>
    <row r="239" spans="1:8" hidden="1" x14ac:dyDescent="0.25">
      <c r="A239" s="158">
        <v>2129</v>
      </c>
      <c r="B239" s="156" t="s">
        <v>694</v>
      </c>
      <c r="C239" s="156" t="s">
        <v>360</v>
      </c>
      <c r="D239" s="156" t="s">
        <v>22</v>
      </c>
      <c r="E239" s="156" t="s">
        <v>18</v>
      </c>
      <c r="F239" s="159">
        <v>18955</v>
      </c>
      <c r="G239" s="159">
        <v>37910</v>
      </c>
      <c r="H239" s="159">
        <v>56866</v>
      </c>
    </row>
    <row r="240" spans="1:8" hidden="1" x14ac:dyDescent="0.25">
      <c r="A240" s="158">
        <v>2130</v>
      </c>
      <c r="B240" s="156" t="s">
        <v>694</v>
      </c>
      <c r="C240" s="156" t="s">
        <v>360</v>
      </c>
      <c r="D240" s="156" t="s">
        <v>22</v>
      </c>
      <c r="E240" s="156" t="s">
        <v>19</v>
      </c>
      <c r="F240" s="159">
        <v>19335</v>
      </c>
      <c r="G240" s="159">
        <v>38668</v>
      </c>
      <c r="H240" s="159">
        <v>58003</v>
      </c>
    </row>
    <row r="241" spans="1:8" hidden="1" x14ac:dyDescent="0.25">
      <c r="A241" s="158">
        <v>2131</v>
      </c>
      <c r="B241" s="156" t="s">
        <v>694</v>
      </c>
      <c r="C241" s="156" t="s">
        <v>360</v>
      </c>
      <c r="D241" s="156" t="s">
        <v>22</v>
      </c>
      <c r="E241" s="156" t="s">
        <v>20</v>
      </c>
      <c r="F241" s="159">
        <v>19720</v>
      </c>
      <c r="G241" s="159">
        <v>39443</v>
      </c>
      <c r="H241" s="159">
        <v>59162</v>
      </c>
    </row>
    <row r="242" spans="1:8" hidden="1" x14ac:dyDescent="0.25">
      <c r="A242" s="158">
        <v>1833</v>
      </c>
      <c r="B242" s="156" t="s">
        <v>719</v>
      </c>
      <c r="C242" s="156" t="s">
        <v>182</v>
      </c>
      <c r="D242" s="156" t="s">
        <v>22</v>
      </c>
      <c r="E242" s="156" t="s">
        <v>16</v>
      </c>
      <c r="F242" s="159">
        <v>46840</v>
      </c>
      <c r="G242" s="159">
        <v>93682</v>
      </c>
      <c r="H242" s="156" t="s">
        <v>720</v>
      </c>
    </row>
    <row r="243" spans="1:8" hidden="1" x14ac:dyDescent="0.25">
      <c r="A243" s="158">
        <v>1834</v>
      </c>
      <c r="B243" s="156" t="s">
        <v>719</v>
      </c>
      <c r="C243" s="156" t="s">
        <v>182</v>
      </c>
      <c r="D243" s="156" t="s">
        <v>22</v>
      </c>
      <c r="E243" s="156" t="s">
        <v>16</v>
      </c>
      <c r="F243" s="159">
        <v>46840</v>
      </c>
      <c r="G243" s="159">
        <v>93682</v>
      </c>
      <c r="H243" s="156" t="s">
        <v>720</v>
      </c>
    </row>
    <row r="244" spans="1:8" hidden="1" x14ac:dyDescent="0.25">
      <c r="A244" s="158">
        <v>1835</v>
      </c>
      <c r="B244" s="156" t="s">
        <v>719</v>
      </c>
      <c r="C244" s="156" t="s">
        <v>182</v>
      </c>
      <c r="D244" s="156" t="s">
        <v>22</v>
      </c>
      <c r="E244" s="156" t="s">
        <v>17</v>
      </c>
      <c r="F244" s="159">
        <v>47778</v>
      </c>
      <c r="G244" s="159">
        <v>95555</v>
      </c>
      <c r="H244" s="156" t="s">
        <v>721</v>
      </c>
    </row>
    <row r="245" spans="1:8" hidden="1" x14ac:dyDescent="0.25">
      <c r="A245" s="158">
        <v>1836</v>
      </c>
      <c r="B245" s="156" t="s">
        <v>719</v>
      </c>
      <c r="C245" s="156" t="s">
        <v>182</v>
      </c>
      <c r="D245" s="156" t="s">
        <v>22</v>
      </c>
      <c r="E245" s="156" t="s">
        <v>18</v>
      </c>
      <c r="F245" s="159">
        <v>48733</v>
      </c>
      <c r="G245" s="159">
        <v>97467</v>
      </c>
      <c r="H245" s="156" t="s">
        <v>722</v>
      </c>
    </row>
    <row r="246" spans="1:8" hidden="1" x14ac:dyDescent="0.25">
      <c r="A246" s="158">
        <v>1837</v>
      </c>
      <c r="B246" s="156" t="s">
        <v>719</v>
      </c>
      <c r="C246" s="156" t="s">
        <v>182</v>
      </c>
      <c r="D246" s="156" t="s">
        <v>22</v>
      </c>
      <c r="E246" s="156" t="s">
        <v>19</v>
      </c>
      <c r="F246" s="159">
        <v>49707</v>
      </c>
      <c r="G246" s="159">
        <v>99416</v>
      </c>
      <c r="H246" s="156" t="s">
        <v>723</v>
      </c>
    </row>
    <row r="247" spans="1:8" hidden="1" x14ac:dyDescent="0.25">
      <c r="A247" s="158">
        <v>1838</v>
      </c>
      <c r="B247" s="156" t="s">
        <v>719</v>
      </c>
      <c r="C247" s="156" t="s">
        <v>182</v>
      </c>
      <c r="D247" s="156" t="s">
        <v>22</v>
      </c>
      <c r="E247" s="156" t="s">
        <v>20</v>
      </c>
      <c r="F247" s="159">
        <v>50702</v>
      </c>
      <c r="G247" s="156" t="s">
        <v>724</v>
      </c>
      <c r="H247" s="156" t="s">
        <v>725</v>
      </c>
    </row>
    <row r="248" spans="1:8" hidden="1" x14ac:dyDescent="0.25">
      <c r="A248" s="158">
        <v>1839</v>
      </c>
      <c r="B248" s="156" t="s">
        <v>719</v>
      </c>
      <c r="C248" s="156" t="s">
        <v>287</v>
      </c>
      <c r="D248" s="156" t="s">
        <v>22</v>
      </c>
      <c r="E248" s="156" t="s">
        <v>15</v>
      </c>
      <c r="F248" s="159">
        <v>45922</v>
      </c>
      <c r="G248" s="159">
        <v>91845</v>
      </c>
      <c r="H248" s="156" t="s">
        <v>726</v>
      </c>
    </row>
    <row r="249" spans="1:8" hidden="1" x14ac:dyDescent="0.25">
      <c r="A249" s="158">
        <v>1840</v>
      </c>
      <c r="B249" s="156" t="s">
        <v>719</v>
      </c>
      <c r="C249" s="156" t="s">
        <v>287</v>
      </c>
      <c r="D249" s="156" t="s">
        <v>22</v>
      </c>
      <c r="E249" s="156" t="s">
        <v>16</v>
      </c>
      <c r="F249" s="159">
        <v>46840</v>
      </c>
      <c r="G249" s="159">
        <v>93682</v>
      </c>
      <c r="H249" s="156" t="s">
        <v>720</v>
      </c>
    </row>
    <row r="250" spans="1:8" hidden="1" x14ac:dyDescent="0.25">
      <c r="A250" s="158">
        <v>1841</v>
      </c>
      <c r="B250" s="156" t="s">
        <v>719</v>
      </c>
      <c r="C250" s="156" t="s">
        <v>287</v>
      </c>
      <c r="D250" s="156" t="s">
        <v>22</v>
      </c>
      <c r="E250" s="156" t="s">
        <v>17</v>
      </c>
      <c r="F250" s="159">
        <v>47778</v>
      </c>
      <c r="G250" s="159">
        <v>95555</v>
      </c>
      <c r="H250" s="156" t="s">
        <v>721</v>
      </c>
    </row>
    <row r="251" spans="1:8" hidden="1" x14ac:dyDescent="0.25">
      <c r="A251" s="158">
        <v>1842</v>
      </c>
      <c r="B251" s="156" t="s">
        <v>719</v>
      </c>
      <c r="C251" s="156" t="s">
        <v>287</v>
      </c>
      <c r="D251" s="156" t="s">
        <v>22</v>
      </c>
      <c r="E251" s="156" t="s">
        <v>18</v>
      </c>
      <c r="F251" s="159">
        <v>48733</v>
      </c>
      <c r="G251" s="159">
        <v>97467</v>
      </c>
      <c r="H251" s="156" t="s">
        <v>722</v>
      </c>
    </row>
    <row r="252" spans="1:8" hidden="1" x14ac:dyDescent="0.25">
      <c r="A252" s="158">
        <v>1843</v>
      </c>
      <c r="B252" s="156" t="s">
        <v>719</v>
      </c>
      <c r="C252" s="156" t="s">
        <v>287</v>
      </c>
      <c r="D252" s="156" t="s">
        <v>22</v>
      </c>
      <c r="E252" s="156" t="s">
        <v>19</v>
      </c>
      <c r="F252" s="159">
        <v>49707</v>
      </c>
      <c r="G252" s="159">
        <v>99416</v>
      </c>
      <c r="H252" s="156" t="s">
        <v>723</v>
      </c>
    </row>
    <row r="253" spans="1:8" hidden="1" x14ac:dyDescent="0.25">
      <c r="A253" s="158">
        <v>1844</v>
      </c>
      <c r="B253" s="156" t="s">
        <v>719</v>
      </c>
      <c r="C253" s="156" t="s">
        <v>287</v>
      </c>
      <c r="D253" s="156" t="s">
        <v>22</v>
      </c>
      <c r="E253" s="156" t="s">
        <v>20</v>
      </c>
      <c r="F253" s="159">
        <v>50702</v>
      </c>
      <c r="G253" s="156" t="s">
        <v>724</v>
      </c>
      <c r="H253" s="156" t="s">
        <v>725</v>
      </c>
    </row>
    <row r="254" spans="1:8" hidden="1" x14ac:dyDescent="0.25">
      <c r="A254" s="158">
        <v>1845</v>
      </c>
      <c r="B254" s="156" t="s">
        <v>719</v>
      </c>
      <c r="C254" s="156" t="s">
        <v>290</v>
      </c>
      <c r="D254" s="156" t="s">
        <v>22</v>
      </c>
      <c r="E254" s="156" t="s">
        <v>15</v>
      </c>
      <c r="F254" s="159">
        <v>45922</v>
      </c>
      <c r="G254" s="159">
        <v>91845</v>
      </c>
      <c r="H254" s="156" t="s">
        <v>726</v>
      </c>
    </row>
    <row r="255" spans="1:8" hidden="1" x14ac:dyDescent="0.25">
      <c r="A255" s="158">
        <v>1846</v>
      </c>
      <c r="B255" s="156" t="s">
        <v>719</v>
      </c>
      <c r="C255" s="156" t="s">
        <v>290</v>
      </c>
      <c r="D255" s="156" t="s">
        <v>22</v>
      </c>
      <c r="E255" s="156" t="s">
        <v>16</v>
      </c>
      <c r="F255" s="159">
        <v>46840</v>
      </c>
      <c r="G255" s="159">
        <v>93682</v>
      </c>
      <c r="H255" s="156" t="s">
        <v>720</v>
      </c>
    </row>
    <row r="256" spans="1:8" hidden="1" x14ac:dyDescent="0.25">
      <c r="A256" s="158">
        <v>1847</v>
      </c>
      <c r="B256" s="156" t="s">
        <v>719</v>
      </c>
      <c r="C256" s="156" t="s">
        <v>290</v>
      </c>
      <c r="D256" s="156" t="s">
        <v>22</v>
      </c>
      <c r="E256" s="156" t="s">
        <v>17</v>
      </c>
      <c r="F256" s="159">
        <v>47778</v>
      </c>
      <c r="G256" s="159">
        <v>95555</v>
      </c>
      <c r="H256" s="156" t="s">
        <v>721</v>
      </c>
    </row>
    <row r="257" spans="1:8" hidden="1" x14ac:dyDescent="0.25">
      <c r="A257" s="158">
        <v>1848</v>
      </c>
      <c r="B257" s="156" t="s">
        <v>719</v>
      </c>
      <c r="C257" s="156" t="s">
        <v>290</v>
      </c>
      <c r="D257" s="156" t="s">
        <v>22</v>
      </c>
      <c r="E257" s="156" t="s">
        <v>18</v>
      </c>
      <c r="F257" s="159">
        <v>48733</v>
      </c>
      <c r="G257" s="159">
        <v>97467</v>
      </c>
      <c r="H257" s="156" t="s">
        <v>722</v>
      </c>
    </row>
    <row r="258" spans="1:8" hidden="1" x14ac:dyDescent="0.25">
      <c r="A258" s="158">
        <v>1849</v>
      </c>
      <c r="B258" s="156" t="s">
        <v>719</v>
      </c>
      <c r="C258" s="156" t="s">
        <v>290</v>
      </c>
      <c r="D258" s="156" t="s">
        <v>22</v>
      </c>
      <c r="E258" s="156" t="s">
        <v>19</v>
      </c>
      <c r="F258" s="159">
        <v>49707</v>
      </c>
      <c r="G258" s="159">
        <v>99416</v>
      </c>
      <c r="H258" s="156" t="s">
        <v>723</v>
      </c>
    </row>
    <row r="259" spans="1:8" hidden="1" x14ac:dyDescent="0.25">
      <c r="A259" s="158">
        <v>1850</v>
      </c>
      <c r="B259" s="156" t="s">
        <v>719</v>
      </c>
      <c r="C259" s="156" t="s">
        <v>290</v>
      </c>
      <c r="D259" s="156" t="s">
        <v>22</v>
      </c>
      <c r="E259" s="156" t="s">
        <v>20</v>
      </c>
      <c r="F259" s="159">
        <v>50702</v>
      </c>
      <c r="G259" s="156" t="s">
        <v>724</v>
      </c>
      <c r="H259" s="156" t="s">
        <v>725</v>
      </c>
    </row>
    <row r="260" spans="1:8" hidden="1" x14ac:dyDescent="0.25">
      <c r="A260" s="158">
        <v>1851</v>
      </c>
      <c r="B260" s="156" t="s">
        <v>719</v>
      </c>
      <c r="C260" s="156" t="s">
        <v>234</v>
      </c>
      <c r="D260" s="156" t="s">
        <v>22</v>
      </c>
      <c r="E260" s="156" t="s">
        <v>15</v>
      </c>
      <c r="F260" s="159">
        <v>24389</v>
      </c>
      <c r="G260" s="159">
        <v>48779</v>
      </c>
      <c r="H260" s="159">
        <v>73168</v>
      </c>
    </row>
    <row r="261" spans="1:8" hidden="1" x14ac:dyDescent="0.25">
      <c r="A261" s="158">
        <v>1852</v>
      </c>
      <c r="B261" s="156" t="s">
        <v>719</v>
      </c>
      <c r="C261" s="156" t="s">
        <v>234</v>
      </c>
      <c r="D261" s="156" t="s">
        <v>22</v>
      </c>
      <c r="E261" s="156" t="s">
        <v>16</v>
      </c>
      <c r="F261" s="159">
        <v>24879</v>
      </c>
      <c r="G261" s="159">
        <v>49755</v>
      </c>
      <c r="H261" s="159">
        <v>74634</v>
      </c>
    </row>
    <row r="262" spans="1:8" hidden="1" x14ac:dyDescent="0.25">
      <c r="A262" s="158">
        <v>1853</v>
      </c>
      <c r="B262" s="156" t="s">
        <v>719</v>
      </c>
      <c r="C262" s="156" t="s">
        <v>234</v>
      </c>
      <c r="D262" s="156" t="s">
        <v>22</v>
      </c>
      <c r="E262" s="156" t="s">
        <v>17</v>
      </c>
      <c r="F262" s="159">
        <v>25376</v>
      </c>
      <c r="G262" s="159">
        <v>50750</v>
      </c>
      <c r="H262" s="159">
        <v>76126</v>
      </c>
    </row>
    <row r="263" spans="1:8" hidden="1" x14ac:dyDescent="0.25">
      <c r="A263" s="158">
        <v>1854</v>
      </c>
      <c r="B263" s="156" t="s">
        <v>719</v>
      </c>
      <c r="C263" s="156" t="s">
        <v>234</v>
      </c>
      <c r="D263" s="156" t="s">
        <v>22</v>
      </c>
      <c r="E263" s="156" t="s">
        <v>18</v>
      </c>
      <c r="F263" s="159">
        <v>25883</v>
      </c>
      <c r="G263" s="159">
        <v>51766</v>
      </c>
      <c r="H263" s="159">
        <v>77650</v>
      </c>
    </row>
    <row r="264" spans="1:8" hidden="1" x14ac:dyDescent="0.25">
      <c r="A264" s="158">
        <v>1855</v>
      </c>
      <c r="B264" s="156" t="s">
        <v>719</v>
      </c>
      <c r="C264" s="156" t="s">
        <v>234</v>
      </c>
      <c r="D264" s="156" t="s">
        <v>22</v>
      </c>
      <c r="E264" s="156" t="s">
        <v>19</v>
      </c>
      <c r="F264" s="159">
        <v>26401</v>
      </c>
      <c r="G264" s="159">
        <v>52801</v>
      </c>
      <c r="H264" s="159">
        <v>79203</v>
      </c>
    </row>
    <row r="265" spans="1:8" hidden="1" x14ac:dyDescent="0.25">
      <c r="A265" s="158">
        <v>1856</v>
      </c>
      <c r="B265" s="156" t="s">
        <v>719</v>
      </c>
      <c r="C265" s="156" t="s">
        <v>234</v>
      </c>
      <c r="D265" s="156" t="s">
        <v>22</v>
      </c>
      <c r="E265" s="156" t="s">
        <v>20</v>
      </c>
      <c r="F265" s="159">
        <v>26929</v>
      </c>
      <c r="G265" s="159">
        <v>53857</v>
      </c>
      <c r="H265" s="159">
        <v>80787</v>
      </c>
    </row>
    <row r="266" spans="1:8" hidden="1" x14ac:dyDescent="0.25">
      <c r="A266" s="158">
        <v>1857</v>
      </c>
      <c r="B266" s="156" t="s">
        <v>719</v>
      </c>
      <c r="C266" s="156" t="s">
        <v>305</v>
      </c>
      <c r="D266" s="156" t="s">
        <v>22</v>
      </c>
      <c r="E266" s="156" t="s">
        <v>15</v>
      </c>
      <c r="F266" s="159">
        <v>24389</v>
      </c>
      <c r="G266" s="159">
        <v>48779</v>
      </c>
      <c r="H266" s="159">
        <v>73168</v>
      </c>
    </row>
    <row r="267" spans="1:8" hidden="1" x14ac:dyDescent="0.25">
      <c r="A267" s="158">
        <v>1858</v>
      </c>
      <c r="B267" s="156" t="s">
        <v>719</v>
      </c>
      <c r="C267" s="156" t="s">
        <v>305</v>
      </c>
      <c r="D267" s="156" t="s">
        <v>22</v>
      </c>
      <c r="E267" s="156" t="s">
        <v>16</v>
      </c>
      <c r="F267" s="159">
        <v>24879</v>
      </c>
      <c r="G267" s="159">
        <v>49755</v>
      </c>
      <c r="H267" s="159">
        <v>74634</v>
      </c>
    </row>
    <row r="268" spans="1:8" hidden="1" x14ac:dyDescent="0.25">
      <c r="A268" s="158">
        <v>1859</v>
      </c>
      <c r="B268" s="156" t="s">
        <v>719</v>
      </c>
      <c r="C268" s="156" t="s">
        <v>305</v>
      </c>
      <c r="D268" s="156" t="s">
        <v>22</v>
      </c>
      <c r="E268" s="156" t="s">
        <v>17</v>
      </c>
      <c r="F268" s="159">
        <v>25376</v>
      </c>
      <c r="G268" s="159">
        <v>50750</v>
      </c>
      <c r="H268" s="159">
        <v>76126</v>
      </c>
    </row>
    <row r="269" spans="1:8" hidden="1" x14ac:dyDescent="0.25">
      <c r="A269" s="158">
        <v>1860</v>
      </c>
      <c r="B269" s="156" t="s">
        <v>719</v>
      </c>
      <c r="C269" s="156" t="s">
        <v>305</v>
      </c>
      <c r="D269" s="156" t="s">
        <v>22</v>
      </c>
      <c r="E269" s="156" t="s">
        <v>18</v>
      </c>
      <c r="F269" s="159">
        <v>25883</v>
      </c>
      <c r="G269" s="159">
        <v>51766</v>
      </c>
      <c r="H269" s="159">
        <v>77650</v>
      </c>
    </row>
    <row r="270" spans="1:8" hidden="1" x14ac:dyDescent="0.25">
      <c r="A270" s="158">
        <v>1861</v>
      </c>
      <c r="B270" s="156" t="s">
        <v>719</v>
      </c>
      <c r="C270" s="156" t="s">
        <v>305</v>
      </c>
      <c r="D270" s="156" t="s">
        <v>22</v>
      </c>
      <c r="E270" s="156" t="s">
        <v>19</v>
      </c>
      <c r="F270" s="159">
        <v>26401</v>
      </c>
      <c r="G270" s="159">
        <v>52801</v>
      </c>
      <c r="H270" s="159">
        <v>79203</v>
      </c>
    </row>
    <row r="271" spans="1:8" hidden="1" x14ac:dyDescent="0.25">
      <c r="A271" s="158">
        <v>1862</v>
      </c>
      <c r="B271" s="156" t="s">
        <v>719</v>
      </c>
      <c r="C271" s="156" t="s">
        <v>305</v>
      </c>
      <c r="D271" s="156" t="s">
        <v>22</v>
      </c>
      <c r="E271" s="156" t="s">
        <v>20</v>
      </c>
      <c r="F271" s="159">
        <v>26929</v>
      </c>
      <c r="G271" s="159">
        <v>53857</v>
      </c>
      <c r="H271" s="159">
        <v>80787</v>
      </c>
    </row>
    <row r="272" spans="1:8" hidden="1" x14ac:dyDescent="0.25">
      <c r="A272" s="158">
        <v>1863</v>
      </c>
      <c r="B272" s="156" t="s">
        <v>719</v>
      </c>
      <c r="C272" s="156" t="s">
        <v>328</v>
      </c>
      <c r="D272" s="156" t="s">
        <v>22</v>
      </c>
      <c r="E272" s="156" t="s">
        <v>15</v>
      </c>
      <c r="F272" s="159">
        <v>29473</v>
      </c>
      <c r="G272" s="159">
        <v>58946</v>
      </c>
      <c r="H272" s="159">
        <v>88419</v>
      </c>
    </row>
    <row r="273" spans="1:8" hidden="1" x14ac:dyDescent="0.25">
      <c r="A273" s="158">
        <v>1864</v>
      </c>
      <c r="B273" s="156" t="s">
        <v>719</v>
      </c>
      <c r="C273" s="156" t="s">
        <v>328</v>
      </c>
      <c r="D273" s="156" t="s">
        <v>22</v>
      </c>
      <c r="E273" s="156" t="s">
        <v>16</v>
      </c>
      <c r="F273" s="159">
        <v>30062</v>
      </c>
      <c r="G273" s="159">
        <v>60124</v>
      </c>
      <c r="H273" s="159">
        <v>90185</v>
      </c>
    </row>
    <row r="274" spans="1:8" hidden="1" x14ac:dyDescent="0.25">
      <c r="A274" s="158">
        <v>1865</v>
      </c>
      <c r="B274" s="156" t="s">
        <v>719</v>
      </c>
      <c r="C274" s="156" t="s">
        <v>328</v>
      </c>
      <c r="D274" s="156" t="s">
        <v>22</v>
      </c>
      <c r="E274" s="156" t="s">
        <v>17</v>
      </c>
      <c r="F274" s="159">
        <v>30663</v>
      </c>
      <c r="G274" s="159">
        <v>61327</v>
      </c>
      <c r="H274" s="159">
        <v>91990</v>
      </c>
    </row>
    <row r="275" spans="1:8" hidden="1" x14ac:dyDescent="0.25">
      <c r="A275" s="158">
        <v>1866</v>
      </c>
      <c r="B275" s="156" t="s">
        <v>719</v>
      </c>
      <c r="C275" s="156" t="s">
        <v>328</v>
      </c>
      <c r="D275" s="156" t="s">
        <v>22</v>
      </c>
      <c r="E275" s="156" t="s">
        <v>18</v>
      </c>
      <c r="F275" s="159">
        <v>31276</v>
      </c>
      <c r="G275" s="159">
        <v>62553</v>
      </c>
      <c r="H275" s="159">
        <v>93829</v>
      </c>
    </row>
    <row r="276" spans="1:8" hidden="1" x14ac:dyDescent="0.25">
      <c r="A276" s="158">
        <v>1867</v>
      </c>
      <c r="B276" s="156" t="s">
        <v>719</v>
      </c>
      <c r="C276" s="156" t="s">
        <v>328</v>
      </c>
      <c r="D276" s="156" t="s">
        <v>22</v>
      </c>
      <c r="E276" s="156" t="s">
        <v>19</v>
      </c>
      <c r="F276" s="159">
        <v>31902</v>
      </c>
      <c r="G276" s="159">
        <v>63804</v>
      </c>
      <c r="H276" s="159">
        <v>95706</v>
      </c>
    </row>
    <row r="277" spans="1:8" hidden="1" x14ac:dyDescent="0.25">
      <c r="A277" s="158">
        <v>1868</v>
      </c>
      <c r="B277" s="156" t="s">
        <v>719</v>
      </c>
      <c r="C277" s="156" t="s">
        <v>328</v>
      </c>
      <c r="D277" s="156" t="s">
        <v>22</v>
      </c>
      <c r="E277" s="156" t="s">
        <v>20</v>
      </c>
      <c r="F277" s="159">
        <v>32546</v>
      </c>
      <c r="G277" s="159">
        <v>65080</v>
      </c>
      <c r="H277" s="159">
        <v>97620</v>
      </c>
    </row>
    <row r="278" spans="1:8" hidden="1" x14ac:dyDescent="0.25">
      <c r="A278" s="158">
        <v>1869</v>
      </c>
      <c r="B278" s="156" t="s">
        <v>719</v>
      </c>
      <c r="C278" s="156" t="s">
        <v>361</v>
      </c>
      <c r="D278" s="156" t="s">
        <v>22</v>
      </c>
      <c r="E278" s="156" t="s">
        <v>15</v>
      </c>
      <c r="F278" s="159">
        <v>20085</v>
      </c>
      <c r="G278" s="159">
        <v>40171</v>
      </c>
      <c r="H278" s="159">
        <v>60256</v>
      </c>
    </row>
    <row r="279" spans="1:8" hidden="1" x14ac:dyDescent="0.25">
      <c r="A279" s="158">
        <v>1870</v>
      </c>
      <c r="B279" s="156" t="s">
        <v>719</v>
      </c>
      <c r="C279" s="156" t="s">
        <v>361</v>
      </c>
      <c r="D279" s="156" t="s">
        <v>22</v>
      </c>
      <c r="E279" s="156" t="s">
        <v>16</v>
      </c>
      <c r="F279" s="159">
        <v>20488</v>
      </c>
      <c r="G279" s="159">
        <v>40974</v>
      </c>
      <c r="H279" s="159">
        <v>61463</v>
      </c>
    </row>
    <row r="280" spans="1:8" hidden="1" x14ac:dyDescent="0.25">
      <c r="A280" s="158">
        <v>1871</v>
      </c>
      <c r="B280" s="156" t="s">
        <v>719</v>
      </c>
      <c r="C280" s="156" t="s">
        <v>361</v>
      </c>
      <c r="D280" s="156" t="s">
        <v>22</v>
      </c>
      <c r="E280" s="156" t="s">
        <v>17</v>
      </c>
      <c r="F280" s="159">
        <v>20897</v>
      </c>
      <c r="G280" s="159">
        <v>41794</v>
      </c>
      <c r="H280" s="159">
        <v>62691</v>
      </c>
    </row>
    <row r="281" spans="1:8" hidden="1" x14ac:dyDescent="0.25">
      <c r="A281" s="158">
        <v>1872</v>
      </c>
      <c r="B281" s="156" t="s">
        <v>719</v>
      </c>
      <c r="C281" s="156" t="s">
        <v>361</v>
      </c>
      <c r="D281" s="156" t="s">
        <v>22</v>
      </c>
      <c r="E281" s="156" t="s">
        <v>18</v>
      </c>
      <c r="F281" s="159">
        <v>21314</v>
      </c>
      <c r="G281" s="159">
        <v>42631</v>
      </c>
      <c r="H281" s="159">
        <v>63945</v>
      </c>
    </row>
    <row r="282" spans="1:8" hidden="1" x14ac:dyDescent="0.25">
      <c r="A282" s="158">
        <v>1873</v>
      </c>
      <c r="B282" s="156" t="s">
        <v>719</v>
      </c>
      <c r="C282" s="156" t="s">
        <v>361</v>
      </c>
      <c r="D282" s="156" t="s">
        <v>22</v>
      </c>
      <c r="E282" s="156" t="s">
        <v>19</v>
      </c>
      <c r="F282" s="159">
        <v>21740</v>
      </c>
      <c r="G282" s="159">
        <v>43481</v>
      </c>
      <c r="H282" s="159">
        <v>65223</v>
      </c>
    </row>
    <row r="283" spans="1:8" hidden="1" x14ac:dyDescent="0.25">
      <c r="A283" s="158">
        <v>1874</v>
      </c>
      <c r="B283" s="156" t="s">
        <v>719</v>
      </c>
      <c r="C283" s="156" t="s">
        <v>361</v>
      </c>
      <c r="D283" s="156" t="s">
        <v>22</v>
      </c>
      <c r="E283" s="156" t="s">
        <v>20</v>
      </c>
      <c r="F283" s="159">
        <v>22175</v>
      </c>
      <c r="G283" s="159">
        <v>44352</v>
      </c>
      <c r="H283" s="159">
        <v>66528</v>
      </c>
    </row>
    <row r="284" spans="1:8" x14ac:dyDescent="0.25">
      <c r="A284" s="158">
        <v>1875</v>
      </c>
      <c r="B284" s="156" t="s">
        <v>719</v>
      </c>
      <c r="C284" s="156" t="s">
        <v>262</v>
      </c>
      <c r="D284" s="156" t="s">
        <v>22</v>
      </c>
      <c r="E284" s="156" t="s">
        <v>15</v>
      </c>
      <c r="F284" s="159">
        <v>17012</v>
      </c>
      <c r="G284" s="159">
        <v>34025</v>
      </c>
      <c r="H284" s="159">
        <v>51037</v>
      </c>
    </row>
    <row r="285" spans="1:8" x14ac:dyDescent="0.25">
      <c r="A285" s="158">
        <v>1876</v>
      </c>
      <c r="B285" s="156" t="s">
        <v>719</v>
      </c>
      <c r="C285" s="156" t="s">
        <v>262</v>
      </c>
      <c r="D285" s="156" t="s">
        <v>22</v>
      </c>
      <c r="E285" s="156" t="s">
        <v>16</v>
      </c>
      <c r="F285" s="159">
        <v>17352</v>
      </c>
      <c r="G285" s="159">
        <v>34705</v>
      </c>
      <c r="H285" s="159">
        <v>52057</v>
      </c>
    </row>
    <row r="286" spans="1:8" x14ac:dyDescent="0.25">
      <c r="A286" s="158">
        <v>1877</v>
      </c>
      <c r="B286" s="156" t="s">
        <v>719</v>
      </c>
      <c r="C286" s="156" t="s">
        <v>262</v>
      </c>
      <c r="D286" s="156" t="s">
        <v>22</v>
      </c>
      <c r="E286" s="156" t="s">
        <v>17</v>
      </c>
      <c r="F286" s="159">
        <v>17699</v>
      </c>
      <c r="G286" s="159">
        <v>35399</v>
      </c>
      <c r="H286" s="159">
        <v>53099</v>
      </c>
    </row>
    <row r="287" spans="1:8" x14ac:dyDescent="0.25">
      <c r="A287" s="158">
        <v>1878</v>
      </c>
      <c r="B287" s="156" t="s">
        <v>719</v>
      </c>
      <c r="C287" s="156" t="s">
        <v>262</v>
      </c>
      <c r="D287" s="156" t="s">
        <v>22</v>
      </c>
      <c r="E287" s="156" t="s">
        <v>18</v>
      </c>
      <c r="F287" s="159">
        <v>18052</v>
      </c>
      <c r="G287" s="159">
        <v>36105</v>
      </c>
      <c r="H287" s="159">
        <v>54158</v>
      </c>
    </row>
    <row r="288" spans="1:8" x14ac:dyDescent="0.25">
      <c r="A288" s="158">
        <v>1879</v>
      </c>
      <c r="B288" s="156" t="s">
        <v>719</v>
      </c>
      <c r="C288" s="156" t="s">
        <v>262</v>
      </c>
      <c r="D288" s="156" t="s">
        <v>22</v>
      </c>
      <c r="E288" s="156" t="s">
        <v>19</v>
      </c>
      <c r="F288" s="159">
        <v>18414</v>
      </c>
      <c r="G288" s="159">
        <v>36827</v>
      </c>
      <c r="H288" s="159">
        <v>55241</v>
      </c>
    </row>
    <row r="289" spans="1:8" x14ac:dyDescent="0.25">
      <c r="A289" s="158">
        <v>1880</v>
      </c>
      <c r="B289" s="156" t="s">
        <v>719</v>
      </c>
      <c r="C289" s="156" t="s">
        <v>262</v>
      </c>
      <c r="D289" s="156" t="s">
        <v>22</v>
      </c>
      <c r="E289" s="156" t="s">
        <v>20</v>
      </c>
      <c r="F289" s="159">
        <v>18781</v>
      </c>
      <c r="G289" s="159">
        <v>37565</v>
      </c>
      <c r="H289" s="159">
        <v>56345</v>
      </c>
    </row>
    <row r="290" spans="1:8" hidden="1" x14ac:dyDescent="0.25">
      <c r="A290" s="158">
        <v>1881</v>
      </c>
      <c r="B290" s="156" t="s">
        <v>719</v>
      </c>
      <c r="C290" s="156" t="s">
        <v>359</v>
      </c>
      <c r="D290" s="156" t="s">
        <v>22</v>
      </c>
      <c r="E290" s="156" t="s">
        <v>15</v>
      </c>
      <c r="F290" s="159">
        <v>17012</v>
      </c>
      <c r="G290" s="159">
        <v>34025</v>
      </c>
      <c r="H290" s="159">
        <v>51037</v>
      </c>
    </row>
    <row r="291" spans="1:8" hidden="1" x14ac:dyDescent="0.25">
      <c r="A291" s="158">
        <v>1882</v>
      </c>
      <c r="B291" s="156" t="s">
        <v>719</v>
      </c>
      <c r="C291" s="156" t="s">
        <v>359</v>
      </c>
      <c r="D291" s="156" t="s">
        <v>22</v>
      </c>
      <c r="E291" s="156" t="s">
        <v>16</v>
      </c>
      <c r="F291" s="159">
        <v>17352</v>
      </c>
      <c r="G291" s="159">
        <v>34705</v>
      </c>
      <c r="H291" s="159">
        <v>52057</v>
      </c>
    </row>
    <row r="292" spans="1:8" hidden="1" x14ac:dyDescent="0.25">
      <c r="A292" s="158">
        <v>1883</v>
      </c>
      <c r="B292" s="156" t="s">
        <v>719</v>
      </c>
      <c r="C292" s="156" t="s">
        <v>359</v>
      </c>
      <c r="D292" s="156" t="s">
        <v>22</v>
      </c>
      <c r="E292" s="156" t="s">
        <v>17</v>
      </c>
      <c r="F292" s="159">
        <v>17699</v>
      </c>
      <c r="G292" s="159">
        <v>35399</v>
      </c>
      <c r="H292" s="159">
        <v>53099</v>
      </c>
    </row>
    <row r="293" spans="1:8" hidden="1" x14ac:dyDescent="0.25">
      <c r="A293" s="158">
        <v>1884</v>
      </c>
      <c r="B293" s="156" t="s">
        <v>719</v>
      </c>
      <c r="C293" s="156" t="s">
        <v>359</v>
      </c>
      <c r="D293" s="156" t="s">
        <v>22</v>
      </c>
      <c r="E293" s="156" t="s">
        <v>18</v>
      </c>
      <c r="F293" s="159">
        <v>18052</v>
      </c>
      <c r="G293" s="159">
        <v>36105</v>
      </c>
      <c r="H293" s="159">
        <v>54158</v>
      </c>
    </row>
    <row r="294" spans="1:8" hidden="1" x14ac:dyDescent="0.25">
      <c r="A294" s="158">
        <v>1885</v>
      </c>
      <c r="B294" s="156" t="s">
        <v>719</v>
      </c>
      <c r="C294" s="156" t="s">
        <v>359</v>
      </c>
      <c r="D294" s="156" t="s">
        <v>22</v>
      </c>
      <c r="E294" s="156" t="s">
        <v>19</v>
      </c>
      <c r="F294" s="159">
        <v>18414</v>
      </c>
      <c r="G294" s="159">
        <v>36827</v>
      </c>
      <c r="H294" s="159">
        <v>55241</v>
      </c>
    </row>
    <row r="295" spans="1:8" hidden="1" x14ac:dyDescent="0.25">
      <c r="A295" s="158">
        <v>1886</v>
      </c>
      <c r="B295" s="156" t="s">
        <v>719</v>
      </c>
      <c r="C295" s="156" t="s">
        <v>359</v>
      </c>
      <c r="D295" s="156" t="s">
        <v>22</v>
      </c>
      <c r="E295" s="156" t="s">
        <v>20</v>
      </c>
      <c r="F295" s="159">
        <v>18781</v>
      </c>
      <c r="G295" s="159">
        <v>37565</v>
      </c>
      <c r="H295" s="159">
        <v>56345</v>
      </c>
    </row>
    <row r="296" spans="1:8" hidden="1" x14ac:dyDescent="0.25">
      <c r="A296" s="158">
        <v>1887</v>
      </c>
      <c r="B296" s="156" t="s">
        <v>719</v>
      </c>
      <c r="C296" s="156" t="s">
        <v>360</v>
      </c>
      <c r="D296" s="156" t="s">
        <v>22</v>
      </c>
      <c r="E296" s="156" t="s">
        <v>15</v>
      </c>
      <c r="F296" s="159">
        <v>17012</v>
      </c>
      <c r="G296" s="159">
        <v>34025</v>
      </c>
      <c r="H296" s="159">
        <v>51037</v>
      </c>
    </row>
    <row r="297" spans="1:8" hidden="1" x14ac:dyDescent="0.25">
      <c r="A297" s="158">
        <v>1888</v>
      </c>
      <c r="B297" s="156" t="s">
        <v>719</v>
      </c>
      <c r="C297" s="156" t="s">
        <v>360</v>
      </c>
      <c r="D297" s="156" t="s">
        <v>22</v>
      </c>
      <c r="E297" s="156" t="s">
        <v>16</v>
      </c>
      <c r="F297" s="159">
        <v>17352</v>
      </c>
      <c r="G297" s="159">
        <v>34705</v>
      </c>
      <c r="H297" s="159">
        <v>52057</v>
      </c>
    </row>
    <row r="298" spans="1:8" hidden="1" x14ac:dyDescent="0.25">
      <c r="A298" s="158">
        <v>1889</v>
      </c>
      <c r="B298" s="156" t="s">
        <v>719</v>
      </c>
      <c r="C298" s="156" t="s">
        <v>360</v>
      </c>
      <c r="D298" s="156" t="s">
        <v>22</v>
      </c>
      <c r="E298" s="156" t="s">
        <v>17</v>
      </c>
      <c r="F298" s="159">
        <v>17699</v>
      </c>
      <c r="G298" s="159">
        <v>35399</v>
      </c>
      <c r="H298" s="159">
        <v>53099</v>
      </c>
    </row>
    <row r="299" spans="1:8" hidden="1" x14ac:dyDescent="0.25">
      <c r="A299" s="158">
        <v>1890</v>
      </c>
      <c r="B299" s="156" t="s">
        <v>719</v>
      </c>
      <c r="C299" s="156" t="s">
        <v>360</v>
      </c>
      <c r="D299" s="156" t="s">
        <v>22</v>
      </c>
      <c r="E299" s="156" t="s">
        <v>18</v>
      </c>
      <c r="F299" s="159">
        <v>18052</v>
      </c>
      <c r="G299" s="159">
        <v>36105</v>
      </c>
      <c r="H299" s="159">
        <v>54158</v>
      </c>
    </row>
    <row r="300" spans="1:8" hidden="1" x14ac:dyDescent="0.25">
      <c r="A300" s="158">
        <v>1891</v>
      </c>
      <c r="B300" s="156" t="s">
        <v>719</v>
      </c>
      <c r="C300" s="156" t="s">
        <v>360</v>
      </c>
      <c r="D300" s="156" t="s">
        <v>22</v>
      </c>
      <c r="E300" s="156" t="s">
        <v>19</v>
      </c>
      <c r="F300" s="159">
        <v>18414</v>
      </c>
      <c r="G300" s="159">
        <v>36827</v>
      </c>
      <c r="H300" s="159">
        <v>55241</v>
      </c>
    </row>
    <row r="301" spans="1:8" hidden="1" x14ac:dyDescent="0.25">
      <c r="A301" s="158">
        <v>1892</v>
      </c>
      <c r="B301" s="156" t="s">
        <v>719</v>
      </c>
      <c r="C301" s="156" t="s">
        <v>360</v>
      </c>
      <c r="D301" s="156" t="s">
        <v>22</v>
      </c>
      <c r="E301" s="156" t="s">
        <v>20</v>
      </c>
      <c r="F301" s="159">
        <v>18781</v>
      </c>
      <c r="G301" s="159">
        <v>37565</v>
      </c>
      <c r="H301" s="159">
        <v>56345</v>
      </c>
    </row>
    <row r="302" spans="1:8" hidden="1" x14ac:dyDescent="0.25">
      <c r="A302" s="158">
        <v>1651</v>
      </c>
      <c r="B302" s="156" t="s">
        <v>727</v>
      </c>
      <c r="C302" s="156" t="s">
        <v>182</v>
      </c>
      <c r="D302" s="156" t="s">
        <v>14</v>
      </c>
      <c r="E302" s="156" t="s">
        <v>15</v>
      </c>
      <c r="F302" s="159">
        <v>36210</v>
      </c>
      <c r="G302" s="159">
        <v>72419</v>
      </c>
      <c r="H302" s="156" t="s">
        <v>728</v>
      </c>
    </row>
    <row r="303" spans="1:8" hidden="1" x14ac:dyDescent="0.25">
      <c r="A303" s="158">
        <v>1652</v>
      </c>
      <c r="B303" s="156" t="s">
        <v>727</v>
      </c>
      <c r="C303" s="156" t="s">
        <v>182</v>
      </c>
      <c r="D303" s="156" t="s">
        <v>14</v>
      </c>
      <c r="E303" s="156" t="s">
        <v>16</v>
      </c>
      <c r="F303" s="159">
        <v>36935</v>
      </c>
      <c r="G303" s="159">
        <v>73867</v>
      </c>
      <c r="H303" s="156" t="s">
        <v>729</v>
      </c>
    </row>
    <row r="304" spans="1:8" hidden="1" x14ac:dyDescent="0.25">
      <c r="A304" s="158">
        <v>1653</v>
      </c>
      <c r="B304" s="156" t="s">
        <v>727</v>
      </c>
      <c r="C304" s="156" t="s">
        <v>182</v>
      </c>
      <c r="D304" s="156" t="s">
        <v>14</v>
      </c>
      <c r="E304" s="156" t="s">
        <v>17</v>
      </c>
      <c r="F304" s="159">
        <v>37673</v>
      </c>
      <c r="G304" s="159">
        <v>75345</v>
      </c>
      <c r="H304" s="156" t="s">
        <v>730</v>
      </c>
    </row>
    <row r="305" spans="1:8" hidden="1" x14ac:dyDescent="0.25">
      <c r="A305" s="158">
        <v>1654</v>
      </c>
      <c r="B305" s="156" t="s">
        <v>727</v>
      </c>
      <c r="C305" s="156" t="s">
        <v>182</v>
      </c>
      <c r="D305" s="156" t="s">
        <v>14</v>
      </c>
      <c r="E305" s="156" t="s">
        <v>18</v>
      </c>
      <c r="F305" s="159">
        <v>38426</v>
      </c>
      <c r="G305" s="159">
        <v>76852</v>
      </c>
      <c r="H305" s="156" t="s">
        <v>731</v>
      </c>
    </row>
    <row r="306" spans="1:8" hidden="1" x14ac:dyDescent="0.25">
      <c r="A306" s="158">
        <v>1655</v>
      </c>
      <c r="B306" s="156" t="s">
        <v>727</v>
      </c>
      <c r="C306" s="156" t="s">
        <v>182</v>
      </c>
      <c r="D306" s="156" t="s">
        <v>14</v>
      </c>
      <c r="E306" s="156" t="s">
        <v>19</v>
      </c>
      <c r="F306" s="159">
        <v>39195</v>
      </c>
      <c r="G306" s="159">
        <v>78390</v>
      </c>
      <c r="H306" s="156" t="s">
        <v>732</v>
      </c>
    </row>
    <row r="307" spans="1:8" hidden="1" x14ac:dyDescent="0.25">
      <c r="A307" s="158">
        <v>1656</v>
      </c>
      <c r="B307" s="156" t="s">
        <v>727</v>
      </c>
      <c r="C307" s="156" t="s">
        <v>182</v>
      </c>
      <c r="D307" s="156" t="s">
        <v>14</v>
      </c>
      <c r="E307" s="156" t="s">
        <v>20</v>
      </c>
      <c r="F307" s="159">
        <v>39977</v>
      </c>
      <c r="G307" s="159">
        <v>79957</v>
      </c>
      <c r="H307" s="156" t="s">
        <v>733</v>
      </c>
    </row>
    <row r="308" spans="1:8" hidden="1" x14ac:dyDescent="0.25">
      <c r="A308" s="158">
        <v>1657</v>
      </c>
      <c r="B308" s="156" t="s">
        <v>727</v>
      </c>
      <c r="C308" s="156" t="s">
        <v>182</v>
      </c>
      <c r="D308" s="156" t="s">
        <v>21</v>
      </c>
      <c r="E308" s="156" t="s">
        <v>15</v>
      </c>
      <c r="F308" s="159">
        <v>40778</v>
      </c>
      <c r="G308" s="159">
        <v>81557</v>
      </c>
      <c r="H308" s="156" t="s">
        <v>734</v>
      </c>
    </row>
    <row r="309" spans="1:8" hidden="1" x14ac:dyDescent="0.25">
      <c r="A309" s="158">
        <v>1658</v>
      </c>
      <c r="B309" s="156" t="s">
        <v>727</v>
      </c>
      <c r="C309" s="156" t="s">
        <v>182</v>
      </c>
      <c r="D309" s="156" t="s">
        <v>21</v>
      </c>
      <c r="E309" s="156" t="s">
        <v>16</v>
      </c>
      <c r="F309" s="159">
        <v>41594</v>
      </c>
      <c r="G309" s="159">
        <v>83188</v>
      </c>
      <c r="H309" s="156" t="s">
        <v>735</v>
      </c>
    </row>
    <row r="310" spans="1:8" hidden="1" x14ac:dyDescent="0.25">
      <c r="A310" s="158">
        <v>1659</v>
      </c>
      <c r="B310" s="156" t="s">
        <v>727</v>
      </c>
      <c r="C310" s="156" t="s">
        <v>182</v>
      </c>
      <c r="D310" s="156" t="s">
        <v>21</v>
      </c>
      <c r="E310" s="156" t="s">
        <v>17</v>
      </c>
      <c r="F310" s="159">
        <v>42424</v>
      </c>
      <c r="G310" s="159">
        <v>84852</v>
      </c>
      <c r="H310" s="156" t="s">
        <v>736</v>
      </c>
    </row>
    <row r="311" spans="1:8" hidden="1" x14ac:dyDescent="0.25">
      <c r="A311" s="158">
        <v>1660</v>
      </c>
      <c r="B311" s="156" t="s">
        <v>727</v>
      </c>
      <c r="C311" s="156" t="s">
        <v>182</v>
      </c>
      <c r="D311" s="156" t="s">
        <v>21</v>
      </c>
      <c r="E311" s="156" t="s">
        <v>18</v>
      </c>
      <c r="F311" s="159">
        <v>43275</v>
      </c>
      <c r="G311" s="159">
        <v>86548</v>
      </c>
      <c r="H311" s="156" t="s">
        <v>737</v>
      </c>
    </row>
    <row r="312" spans="1:8" hidden="1" x14ac:dyDescent="0.25">
      <c r="A312" s="158">
        <v>1661</v>
      </c>
      <c r="B312" s="156" t="s">
        <v>727</v>
      </c>
      <c r="C312" s="156" t="s">
        <v>182</v>
      </c>
      <c r="D312" s="156" t="s">
        <v>21</v>
      </c>
      <c r="E312" s="156" t="s">
        <v>19</v>
      </c>
      <c r="F312" s="159">
        <v>44140</v>
      </c>
      <c r="G312" s="159">
        <v>88278</v>
      </c>
      <c r="H312" s="156" t="s">
        <v>738</v>
      </c>
    </row>
    <row r="313" spans="1:8" hidden="1" x14ac:dyDescent="0.25">
      <c r="A313" s="158">
        <v>1662</v>
      </c>
      <c r="B313" s="156" t="s">
        <v>727</v>
      </c>
      <c r="C313" s="156" t="s">
        <v>182</v>
      </c>
      <c r="D313" s="156" t="s">
        <v>21</v>
      </c>
      <c r="E313" s="156" t="s">
        <v>20</v>
      </c>
      <c r="F313" s="159">
        <v>45022</v>
      </c>
      <c r="G313" s="159">
        <v>90044</v>
      </c>
      <c r="H313" s="156" t="s">
        <v>739</v>
      </c>
    </row>
    <row r="314" spans="1:8" hidden="1" x14ac:dyDescent="0.25">
      <c r="A314" s="158">
        <v>1663</v>
      </c>
      <c r="B314" s="156" t="s">
        <v>727</v>
      </c>
      <c r="C314" s="156" t="s">
        <v>182</v>
      </c>
      <c r="D314" s="156" t="s">
        <v>203</v>
      </c>
      <c r="E314" s="156" t="s">
        <v>15</v>
      </c>
      <c r="F314" s="159">
        <v>45922</v>
      </c>
      <c r="G314" s="159">
        <v>91845</v>
      </c>
      <c r="H314" s="156" t="s">
        <v>726</v>
      </c>
    </row>
    <row r="315" spans="1:8" hidden="1" x14ac:dyDescent="0.25">
      <c r="A315" s="158">
        <v>1664</v>
      </c>
      <c r="B315" s="156" t="s">
        <v>727</v>
      </c>
      <c r="C315" s="156" t="s">
        <v>182</v>
      </c>
      <c r="D315" s="156" t="s">
        <v>203</v>
      </c>
      <c r="E315" s="156" t="s">
        <v>16</v>
      </c>
      <c r="F315" s="159">
        <v>46840</v>
      </c>
      <c r="G315" s="159">
        <v>93682</v>
      </c>
      <c r="H315" s="156" t="s">
        <v>720</v>
      </c>
    </row>
    <row r="316" spans="1:8" hidden="1" x14ac:dyDescent="0.25">
      <c r="A316" s="158">
        <v>1665</v>
      </c>
      <c r="B316" s="156" t="s">
        <v>727</v>
      </c>
      <c r="C316" s="156" t="s">
        <v>182</v>
      </c>
      <c r="D316" s="156" t="s">
        <v>203</v>
      </c>
      <c r="E316" s="156" t="s">
        <v>17</v>
      </c>
      <c r="F316" s="159">
        <v>47778</v>
      </c>
      <c r="G316" s="159">
        <v>95555</v>
      </c>
      <c r="H316" s="156" t="s">
        <v>721</v>
      </c>
    </row>
    <row r="317" spans="1:8" hidden="1" x14ac:dyDescent="0.25">
      <c r="A317" s="158">
        <v>1666</v>
      </c>
      <c r="B317" s="156" t="s">
        <v>727</v>
      </c>
      <c r="C317" s="156" t="s">
        <v>182</v>
      </c>
      <c r="D317" s="156" t="s">
        <v>203</v>
      </c>
      <c r="E317" s="156" t="s">
        <v>18</v>
      </c>
      <c r="F317" s="159">
        <v>48733</v>
      </c>
      <c r="G317" s="159">
        <v>97467</v>
      </c>
      <c r="H317" s="156" t="s">
        <v>722</v>
      </c>
    </row>
    <row r="318" spans="1:8" hidden="1" x14ac:dyDescent="0.25">
      <c r="A318" s="158">
        <v>1667</v>
      </c>
      <c r="B318" s="156" t="s">
        <v>727</v>
      </c>
      <c r="C318" s="156" t="s">
        <v>182</v>
      </c>
      <c r="D318" s="156" t="s">
        <v>203</v>
      </c>
      <c r="E318" s="156" t="s">
        <v>19</v>
      </c>
      <c r="F318" s="159">
        <v>49707</v>
      </c>
      <c r="G318" s="159">
        <v>99416</v>
      </c>
      <c r="H318" s="156" t="s">
        <v>723</v>
      </c>
    </row>
    <row r="319" spans="1:8" hidden="1" x14ac:dyDescent="0.25">
      <c r="A319" s="158">
        <v>1668</v>
      </c>
      <c r="B319" s="156" t="s">
        <v>727</v>
      </c>
      <c r="C319" s="156" t="s">
        <v>182</v>
      </c>
      <c r="D319" s="156" t="s">
        <v>203</v>
      </c>
      <c r="E319" s="156" t="s">
        <v>20</v>
      </c>
      <c r="F319" s="159">
        <v>50702</v>
      </c>
      <c r="G319" s="156" t="s">
        <v>724</v>
      </c>
      <c r="H319" s="156" t="s">
        <v>725</v>
      </c>
    </row>
    <row r="320" spans="1:8" hidden="1" x14ac:dyDescent="0.25">
      <c r="A320" s="158">
        <v>1669</v>
      </c>
      <c r="B320" s="156" t="s">
        <v>727</v>
      </c>
      <c r="C320" s="156" t="s">
        <v>287</v>
      </c>
      <c r="D320" s="156" t="s">
        <v>14</v>
      </c>
      <c r="E320" s="156" t="s">
        <v>15</v>
      </c>
      <c r="F320" s="159">
        <v>36210</v>
      </c>
      <c r="G320" s="159">
        <v>72419</v>
      </c>
      <c r="H320" s="156" t="s">
        <v>728</v>
      </c>
    </row>
    <row r="321" spans="1:8" hidden="1" x14ac:dyDescent="0.25">
      <c r="A321" s="158">
        <v>1670</v>
      </c>
      <c r="B321" s="156" t="s">
        <v>727</v>
      </c>
      <c r="C321" s="156" t="s">
        <v>287</v>
      </c>
      <c r="D321" s="156" t="s">
        <v>14</v>
      </c>
      <c r="E321" s="156" t="s">
        <v>16</v>
      </c>
      <c r="F321" s="159">
        <v>36935</v>
      </c>
      <c r="G321" s="159">
        <v>73867</v>
      </c>
      <c r="H321" s="156" t="s">
        <v>729</v>
      </c>
    </row>
    <row r="322" spans="1:8" hidden="1" x14ac:dyDescent="0.25">
      <c r="A322" s="158">
        <v>1671</v>
      </c>
      <c r="B322" s="156" t="s">
        <v>727</v>
      </c>
      <c r="C322" s="156" t="s">
        <v>287</v>
      </c>
      <c r="D322" s="156" t="s">
        <v>14</v>
      </c>
      <c r="E322" s="156" t="s">
        <v>17</v>
      </c>
      <c r="F322" s="159">
        <v>37673</v>
      </c>
      <c r="G322" s="159">
        <v>75345</v>
      </c>
      <c r="H322" s="156" t="s">
        <v>730</v>
      </c>
    </row>
    <row r="323" spans="1:8" hidden="1" x14ac:dyDescent="0.25">
      <c r="A323" s="158">
        <v>1672</v>
      </c>
      <c r="B323" s="156" t="s">
        <v>727</v>
      </c>
      <c r="C323" s="156" t="s">
        <v>287</v>
      </c>
      <c r="D323" s="156" t="s">
        <v>14</v>
      </c>
      <c r="E323" s="156" t="s">
        <v>18</v>
      </c>
      <c r="F323" s="159">
        <v>38426</v>
      </c>
      <c r="G323" s="159">
        <v>76852</v>
      </c>
      <c r="H323" s="156" t="s">
        <v>731</v>
      </c>
    </row>
    <row r="324" spans="1:8" hidden="1" x14ac:dyDescent="0.25">
      <c r="A324" s="158">
        <v>1673</v>
      </c>
      <c r="B324" s="156" t="s">
        <v>727</v>
      </c>
      <c r="C324" s="156" t="s">
        <v>287</v>
      </c>
      <c r="D324" s="156" t="s">
        <v>14</v>
      </c>
      <c r="E324" s="156" t="s">
        <v>19</v>
      </c>
      <c r="F324" s="159">
        <v>39195</v>
      </c>
      <c r="G324" s="159">
        <v>78390</v>
      </c>
      <c r="H324" s="156" t="s">
        <v>732</v>
      </c>
    </row>
    <row r="325" spans="1:8" hidden="1" x14ac:dyDescent="0.25">
      <c r="A325" s="158">
        <v>1674</v>
      </c>
      <c r="B325" s="156" t="s">
        <v>727</v>
      </c>
      <c r="C325" s="156" t="s">
        <v>287</v>
      </c>
      <c r="D325" s="156" t="s">
        <v>14</v>
      </c>
      <c r="E325" s="156" t="s">
        <v>20</v>
      </c>
      <c r="F325" s="159">
        <v>39977</v>
      </c>
      <c r="G325" s="159">
        <v>79957</v>
      </c>
      <c r="H325" s="156" t="s">
        <v>733</v>
      </c>
    </row>
    <row r="326" spans="1:8" hidden="1" x14ac:dyDescent="0.25">
      <c r="A326" s="158">
        <v>1675</v>
      </c>
      <c r="B326" s="156" t="s">
        <v>727</v>
      </c>
      <c r="C326" s="156" t="s">
        <v>287</v>
      </c>
      <c r="D326" s="156" t="s">
        <v>21</v>
      </c>
      <c r="E326" s="156" t="s">
        <v>15</v>
      </c>
      <c r="F326" s="159">
        <v>40778</v>
      </c>
      <c r="G326" s="159">
        <v>81557</v>
      </c>
      <c r="H326" s="156" t="s">
        <v>734</v>
      </c>
    </row>
    <row r="327" spans="1:8" hidden="1" x14ac:dyDescent="0.25">
      <c r="A327" s="158">
        <v>1676</v>
      </c>
      <c r="B327" s="156" t="s">
        <v>727</v>
      </c>
      <c r="C327" s="156" t="s">
        <v>287</v>
      </c>
      <c r="D327" s="156" t="s">
        <v>21</v>
      </c>
      <c r="E327" s="156" t="s">
        <v>16</v>
      </c>
      <c r="F327" s="159">
        <v>41594</v>
      </c>
      <c r="G327" s="159">
        <v>83188</v>
      </c>
      <c r="H327" s="156" t="s">
        <v>735</v>
      </c>
    </row>
    <row r="328" spans="1:8" hidden="1" x14ac:dyDescent="0.25">
      <c r="A328" s="158">
        <v>1677</v>
      </c>
      <c r="B328" s="156" t="s">
        <v>727</v>
      </c>
      <c r="C328" s="156" t="s">
        <v>287</v>
      </c>
      <c r="D328" s="156" t="s">
        <v>21</v>
      </c>
      <c r="E328" s="156" t="s">
        <v>17</v>
      </c>
      <c r="F328" s="159">
        <v>42424</v>
      </c>
      <c r="G328" s="159">
        <v>84852</v>
      </c>
      <c r="H328" s="156" t="s">
        <v>736</v>
      </c>
    </row>
    <row r="329" spans="1:8" hidden="1" x14ac:dyDescent="0.25">
      <c r="A329" s="158">
        <v>1678</v>
      </c>
      <c r="B329" s="156" t="s">
        <v>727</v>
      </c>
      <c r="C329" s="156" t="s">
        <v>287</v>
      </c>
      <c r="D329" s="156" t="s">
        <v>21</v>
      </c>
      <c r="E329" s="156" t="s">
        <v>18</v>
      </c>
      <c r="F329" s="159">
        <v>43275</v>
      </c>
      <c r="G329" s="159">
        <v>86548</v>
      </c>
      <c r="H329" s="156" t="s">
        <v>737</v>
      </c>
    </row>
    <row r="330" spans="1:8" hidden="1" x14ac:dyDescent="0.25">
      <c r="A330" s="158">
        <v>1679</v>
      </c>
      <c r="B330" s="156" t="s">
        <v>727</v>
      </c>
      <c r="C330" s="156" t="s">
        <v>287</v>
      </c>
      <c r="D330" s="156" t="s">
        <v>21</v>
      </c>
      <c r="E330" s="156" t="s">
        <v>19</v>
      </c>
      <c r="F330" s="159">
        <v>44140</v>
      </c>
      <c r="G330" s="159">
        <v>88278</v>
      </c>
      <c r="H330" s="156" t="s">
        <v>738</v>
      </c>
    </row>
    <row r="331" spans="1:8" hidden="1" x14ac:dyDescent="0.25">
      <c r="A331" s="158">
        <v>1680</v>
      </c>
      <c r="B331" s="156" t="s">
        <v>727</v>
      </c>
      <c r="C331" s="156" t="s">
        <v>287</v>
      </c>
      <c r="D331" s="156" t="s">
        <v>21</v>
      </c>
      <c r="E331" s="156" t="s">
        <v>20</v>
      </c>
      <c r="F331" s="159">
        <v>45022</v>
      </c>
      <c r="G331" s="159">
        <v>90044</v>
      </c>
      <c r="H331" s="156" t="s">
        <v>739</v>
      </c>
    </row>
    <row r="332" spans="1:8" hidden="1" x14ac:dyDescent="0.25">
      <c r="A332" s="158">
        <v>1681</v>
      </c>
      <c r="B332" s="156" t="s">
        <v>727</v>
      </c>
      <c r="C332" s="156" t="s">
        <v>287</v>
      </c>
      <c r="D332" s="156" t="s">
        <v>203</v>
      </c>
      <c r="E332" s="156" t="s">
        <v>15</v>
      </c>
      <c r="F332" s="159">
        <v>45922</v>
      </c>
      <c r="G332" s="159">
        <v>91845</v>
      </c>
      <c r="H332" s="156" t="s">
        <v>726</v>
      </c>
    </row>
    <row r="333" spans="1:8" hidden="1" x14ac:dyDescent="0.25">
      <c r="A333" s="158">
        <v>1682</v>
      </c>
      <c r="B333" s="156" t="s">
        <v>727</v>
      </c>
      <c r="C333" s="156" t="s">
        <v>287</v>
      </c>
      <c r="D333" s="156" t="s">
        <v>203</v>
      </c>
      <c r="E333" s="156" t="s">
        <v>16</v>
      </c>
      <c r="F333" s="159">
        <v>46840</v>
      </c>
      <c r="G333" s="159">
        <v>93682</v>
      </c>
      <c r="H333" s="156" t="s">
        <v>720</v>
      </c>
    </row>
    <row r="334" spans="1:8" hidden="1" x14ac:dyDescent="0.25">
      <c r="A334" s="158">
        <v>1683</v>
      </c>
      <c r="B334" s="156" t="s">
        <v>727</v>
      </c>
      <c r="C334" s="156" t="s">
        <v>287</v>
      </c>
      <c r="D334" s="156" t="s">
        <v>203</v>
      </c>
      <c r="E334" s="156" t="s">
        <v>17</v>
      </c>
      <c r="F334" s="159">
        <v>47778</v>
      </c>
      <c r="G334" s="159">
        <v>95555</v>
      </c>
      <c r="H334" s="156" t="s">
        <v>721</v>
      </c>
    </row>
    <row r="335" spans="1:8" hidden="1" x14ac:dyDescent="0.25">
      <c r="A335" s="158">
        <v>1684</v>
      </c>
      <c r="B335" s="156" t="s">
        <v>727</v>
      </c>
      <c r="C335" s="156" t="s">
        <v>287</v>
      </c>
      <c r="D335" s="156" t="s">
        <v>203</v>
      </c>
      <c r="E335" s="156" t="s">
        <v>18</v>
      </c>
      <c r="F335" s="159">
        <v>48733</v>
      </c>
      <c r="G335" s="159">
        <v>97467</v>
      </c>
      <c r="H335" s="156" t="s">
        <v>722</v>
      </c>
    </row>
    <row r="336" spans="1:8" hidden="1" x14ac:dyDescent="0.25">
      <c r="A336" s="158">
        <v>1685</v>
      </c>
      <c r="B336" s="156" t="s">
        <v>727</v>
      </c>
      <c r="C336" s="156" t="s">
        <v>287</v>
      </c>
      <c r="D336" s="156" t="s">
        <v>203</v>
      </c>
      <c r="E336" s="156" t="s">
        <v>19</v>
      </c>
      <c r="F336" s="159">
        <v>49707</v>
      </c>
      <c r="G336" s="159">
        <v>99416</v>
      </c>
      <c r="H336" s="156" t="s">
        <v>723</v>
      </c>
    </row>
    <row r="337" spans="1:8" hidden="1" x14ac:dyDescent="0.25">
      <c r="A337" s="158">
        <v>1686</v>
      </c>
      <c r="B337" s="156" t="s">
        <v>727</v>
      </c>
      <c r="C337" s="156" t="s">
        <v>287</v>
      </c>
      <c r="D337" s="156" t="s">
        <v>203</v>
      </c>
      <c r="E337" s="156" t="s">
        <v>20</v>
      </c>
      <c r="F337" s="159">
        <v>50702</v>
      </c>
      <c r="G337" s="156" t="s">
        <v>724</v>
      </c>
      <c r="H337" s="156" t="s">
        <v>725</v>
      </c>
    </row>
    <row r="338" spans="1:8" hidden="1" x14ac:dyDescent="0.25">
      <c r="A338" s="158">
        <v>1687</v>
      </c>
      <c r="B338" s="156" t="s">
        <v>727</v>
      </c>
      <c r="C338" s="156" t="s">
        <v>290</v>
      </c>
      <c r="D338" s="156" t="s">
        <v>14</v>
      </c>
      <c r="E338" s="156" t="s">
        <v>15</v>
      </c>
      <c r="F338" s="159">
        <v>36210</v>
      </c>
      <c r="G338" s="159">
        <v>72419</v>
      </c>
      <c r="H338" s="156" t="s">
        <v>728</v>
      </c>
    </row>
    <row r="339" spans="1:8" hidden="1" x14ac:dyDescent="0.25">
      <c r="A339" s="158">
        <v>1688</v>
      </c>
      <c r="B339" s="156" t="s">
        <v>727</v>
      </c>
      <c r="C339" s="156" t="s">
        <v>290</v>
      </c>
      <c r="D339" s="156" t="s">
        <v>14</v>
      </c>
      <c r="E339" s="156" t="s">
        <v>16</v>
      </c>
      <c r="F339" s="159">
        <v>36935</v>
      </c>
      <c r="G339" s="159">
        <v>73867</v>
      </c>
      <c r="H339" s="156" t="s">
        <v>729</v>
      </c>
    </row>
    <row r="340" spans="1:8" hidden="1" x14ac:dyDescent="0.25">
      <c r="A340" s="158">
        <v>1689</v>
      </c>
      <c r="B340" s="156" t="s">
        <v>727</v>
      </c>
      <c r="C340" s="156" t="s">
        <v>290</v>
      </c>
      <c r="D340" s="156" t="s">
        <v>14</v>
      </c>
      <c r="E340" s="156" t="s">
        <v>17</v>
      </c>
      <c r="F340" s="159">
        <v>37673</v>
      </c>
      <c r="G340" s="159">
        <v>75345</v>
      </c>
      <c r="H340" s="156" t="s">
        <v>730</v>
      </c>
    </row>
    <row r="341" spans="1:8" hidden="1" x14ac:dyDescent="0.25">
      <c r="A341" s="158">
        <v>1690</v>
      </c>
      <c r="B341" s="156" t="s">
        <v>727</v>
      </c>
      <c r="C341" s="156" t="s">
        <v>290</v>
      </c>
      <c r="D341" s="156" t="s">
        <v>14</v>
      </c>
      <c r="E341" s="156" t="s">
        <v>18</v>
      </c>
      <c r="F341" s="159">
        <v>38426</v>
      </c>
      <c r="G341" s="159">
        <v>76852</v>
      </c>
      <c r="H341" s="156" t="s">
        <v>731</v>
      </c>
    </row>
    <row r="342" spans="1:8" hidden="1" x14ac:dyDescent="0.25">
      <c r="A342" s="158">
        <v>1691</v>
      </c>
      <c r="B342" s="156" t="s">
        <v>727</v>
      </c>
      <c r="C342" s="156" t="s">
        <v>290</v>
      </c>
      <c r="D342" s="156" t="s">
        <v>14</v>
      </c>
      <c r="E342" s="156" t="s">
        <v>19</v>
      </c>
      <c r="F342" s="159">
        <v>39195</v>
      </c>
      <c r="G342" s="159">
        <v>78390</v>
      </c>
      <c r="H342" s="156" t="s">
        <v>732</v>
      </c>
    </row>
    <row r="343" spans="1:8" hidden="1" x14ac:dyDescent="0.25">
      <c r="A343" s="158">
        <v>1692</v>
      </c>
      <c r="B343" s="156" t="s">
        <v>727</v>
      </c>
      <c r="C343" s="156" t="s">
        <v>290</v>
      </c>
      <c r="D343" s="156" t="s">
        <v>14</v>
      </c>
      <c r="E343" s="156" t="s">
        <v>20</v>
      </c>
      <c r="F343" s="159">
        <v>39977</v>
      </c>
      <c r="G343" s="159">
        <v>79957</v>
      </c>
      <c r="H343" s="156" t="s">
        <v>733</v>
      </c>
    </row>
    <row r="344" spans="1:8" hidden="1" x14ac:dyDescent="0.25">
      <c r="A344" s="158">
        <v>1693</v>
      </c>
      <c r="B344" s="156" t="s">
        <v>727</v>
      </c>
      <c r="C344" s="156" t="s">
        <v>290</v>
      </c>
      <c r="D344" s="156" t="s">
        <v>21</v>
      </c>
      <c r="E344" s="156" t="s">
        <v>15</v>
      </c>
      <c r="F344" s="159">
        <v>40778</v>
      </c>
      <c r="G344" s="159">
        <v>81557</v>
      </c>
      <c r="H344" s="156" t="s">
        <v>734</v>
      </c>
    </row>
    <row r="345" spans="1:8" hidden="1" x14ac:dyDescent="0.25">
      <c r="A345" s="158">
        <v>1694</v>
      </c>
      <c r="B345" s="156" t="s">
        <v>727</v>
      </c>
      <c r="C345" s="156" t="s">
        <v>290</v>
      </c>
      <c r="D345" s="156" t="s">
        <v>21</v>
      </c>
      <c r="E345" s="156" t="s">
        <v>16</v>
      </c>
      <c r="F345" s="159">
        <v>41594</v>
      </c>
      <c r="G345" s="159">
        <v>83188</v>
      </c>
      <c r="H345" s="156" t="s">
        <v>735</v>
      </c>
    </row>
    <row r="346" spans="1:8" hidden="1" x14ac:dyDescent="0.25">
      <c r="A346" s="158">
        <v>1695</v>
      </c>
      <c r="B346" s="156" t="s">
        <v>727</v>
      </c>
      <c r="C346" s="156" t="s">
        <v>290</v>
      </c>
      <c r="D346" s="156" t="s">
        <v>21</v>
      </c>
      <c r="E346" s="156" t="s">
        <v>17</v>
      </c>
      <c r="F346" s="159">
        <v>42424</v>
      </c>
      <c r="G346" s="159">
        <v>84852</v>
      </c>
      <c r="H346" s="156" t="s">
        <v>736</v>
      </c>
    </row>
    <row r="347" spans="1:8" hidden="1" x14ac:dyDescent="0.25">
      <c r="A347" s="158">
        <v>1696</v>
      </c>
      <c r="B347" s="156" t="s">
        <v>727</v>
      </c>
      <c r="C347" s="156" t="s">
        <v>290</v>
      </c>
      <c r="D347" s="156" t="s">
        <v>21</v>
      </c>
      <c r="E347" s="156" t="s">
        <v>18</v>
      </c>
      <c r="F347" s="159">
        <v>43275</v>
      </c>
      <c r="G347" s="159">
        <v>86548</v>
      </c>
      <c r="H347" s="156" t="s">
        <v>737</v>
      </c>
    </row>
    <row r="348" spans="1:8" hidden="1" x14ac:dyDescent="0.25">
      <c r="A348" s="158">
        <v>1697</v>
      </c>
      <c r="B348" s="156" t="s">
        <v>727</v>
      </c>
      <c r="C348" s="156" t="s">
        <v>290</v>
      </c>
      <c r="D348" s="156" t="s">
        <v>21</v>
      </c>
      <c r="E348" s="156" t="s">
        <v>19</v>
      </c>
      <c r="F348" s="159">
        <v>44140</v>
      </c>
      <c r="G348" s="159">
        <v>88278</v>
      </c>
      <c r="H348" s="156" t="s">
        <v>738</v>
      </c>
    </row>
    <row r="349" spans="1:8" hidden="1" x14ac:dyDescent="0.25">
      <c r="A349" s="158">
        <v>1698</v>
      </c>
      <c r="B349" s="156" t="s">
        <v>727</v>
      </c>
      <c r="C349" s="156" t="s">
        <v>290</v>
      </c>
      <c r="D349" s="156" t="s">
        <v>21</v>
      </c>
      <c r="E349" s="156" t="s">
        <v>20</v>
      </c>
      <c r="F349" s="159">
        <v>45022</v>
      </c>
      <c r="G349" s="159">
        <v>90044</v>
      </c>
      <c r="H349" s="156" t="s">
        <v>739</v>
      </c>
    </row>
    <row r="350" spans="1:8" hidden="1" x14ac:dyDescent="0.25">
      <c r="A350" s="158">
        <v>1699</v>
      </c>
      <c r="B350" s="156" t="s">
        <v>727</v>
      </c>
      <c r="C350" s="156" t="s">
        <v>290</v>
      </c>
      <c r="D350" s="156" t="s">
        <v>203</v>
      </c>
      <c r="E350" s="156" t="s">
        <v>15</v>
      </c>
      <c r="F350" s="159">
        <v>45922</v>
      </c>
      <c r="G350" s="159">
        <v>91845</v>
      </c>
      <c r="H350" s="156" t="s">
        <v>726</v>
      </c>
    </row>
    <row r="351" spans="1:8" hidden="1" x14ac:dyDescent="0.25">
      <c r="A351" s="158">
        <v>1700</v>
      </c>
      <c r="B351" s="156" t="s">
        <v>727</v>
      </c>
      <c r="C351" s="156" t="s">
        <v>290</v>
      </c>
      <c r="D351" s="156" t="s">
        <v>203</v>
      </c>
      <c r="E351" s="156" t="s">
        <v>16</v>
      </c>
      <c r="F351" s="159">
        <v>46840</v>
      </c>
      <c r="G351" s="159">
        <v>93682</v>
      </c>
      <c r="H351" s="156" t="s">
        <v>720</v>
      </c>
    </row>
    <row r="352" spans="1:8" hidden="1" x14ac:dyDescent="0.25">
      <c r="A352" s="158">
        <v>1701</v>
      </c>
      <c r="B352" s="156" t="s">
        <v>727</v>
      </c>
      <c r="C352" s="156" t="s">
        <v>290</v>
      </c>
      <c r="D352" s="156" t="s">
        <v>203</v>
      </c>
      <c r="E352" s="156" t="s">
        <v>17</v>
      </c>
      <c r="F352" s="159">
        <v>47778</v>
      </c>
      <c r="G352" s="159">
        <v>95555</v>
      </c>
      <c r="H352" s="156" t="s">
        <v>721</v>
      </c>
    </row>
    <row r="353" spans="1:8" hidden="1" x14ac:dyDescent="0.25">
      <c r="A353" s="158">
        <v>1702</v>
      </c>
      <c r="B353" s="156" t="s">
        <v>727</v>
      </c>
      <c r="C353" s="156" t="s">
        <v>290</v>
      </c>
      <c r="D353" s="156" t="s">
        <v>203</v>
      </c>
      <c r="E353" s="156" t="s">
        <v>18</v>
      </c>
      <c r="F353" s="159">
        <v>48733</v>
      </c>
      <c r="G353" s="159">
        <v>97467</v>
      </c>
      <c r="H353" s="156" t="s">
        <v>722</v>
      </c>
    </row>
    <row r="354" spans="1:8" hidden="1" x14ac:dyDescent="0.25">
      <c r="A354" s="158">
        <v>1703</v>
      </c>
      <c r="B354" s="156" t="s">
        <v>727</v>
      </c>
      <c r="C354" s="156" t="s">
        <v>290</v>
      </c>
      <c r="D354" s="156" t="s">
        <v>203</v>
      </c>
      <c r="E354" s="156" t="s">
        <v>19</v>
      </c>
      <c r="F354" s="159">
        <v>49707</v>
      </c>
      <c r="G354" s="159">
        <v>99416</v>
      </c>
      <c r="H354" s="156" t="s">
        <v>723</v>
      </c>
    </row>
    <row r="355" spans="1:8" hidden="1" x14ac:dyDescent="0.25">
      <c r="A355" s="158">
        <v>1704</v>
      </c>
      <c r="B355" s="156" t="s">
        <v>727</v>
      </c>
      <c r="C355" s="156" t="s">
        <v>290</v>
      </c>
      <c r="D355" s="156" t="s">
        <v>203</v>
      </c>
      <c r="E355" s="156" t="s">
        <v>20</v>
      </c>
      <c r="F355" s="159">
        <v>50702</v>
      </c>
      <c r="G355" s="156" t="s">
        <v>724</v>
      </c>
      <c r="H355" s="156" t="s">
        <v>725</v>
      </c>
    </row>
    <row r="356" spans="1:8" hidden="1" x14ac:dyDescent="0.25">
      <c r="A356" s="158">
        <v>1705</v>
      </c>
      <c r="B356" s="156" t="s">
        <v>727</v>
      </c>
      <c r="C356" s="156" t="s">
        <v>234</v>
      </c>
      <c r="D356" s="156" t="s">
        <v>14</v>
      </c>
      <c r="E356" s="156" t="s">
        <v>15</v>
      </c>
      <c r="F356" s="159">
        <v>19231</v>
      </c>
      <c r="G356" s="159">
        <v>38462</v>
      </c>
      <c r="H356" s="159">
        <v>57694</v>
      </c>
    </row>
    <row r="357" spans="1:8" hidden="1" x14ac:dyDescent="0.25">
      <c r="A357" s="158">
        <v>1706</v>
      </c>
      <c r="B357" s="156" t="s">
        <v>727</v>
      </c>
      <c r="C357" s="156" t="s">
        <v>234</v>
      </c>
      <c r="D357" s="156" t="s">
        <v>14</v>
      </c>
      <c r="E357" s="156" t="s">
        <v>16</v>
      </c>
      <c r="F357" s="159">
        <v>19616</v>
      </c>
      <c r="G357" s="159">
        <v>39233</v>
      </c>
      <c r="H357" s="159">
        <v>58849</v>
      </c>
    </row>
    <row r="358" spans="1:8" hidden="1" x14ac:dyDescent="0.25">
      <c r="A358" s="158">
        <v>1707</v>
      </c>
      <c r="B358" s="156" t="s">
        <v>727</v>
      </c>
      <c r="C358" s="156" t="s">
        <v>234</v>
      </c>
      <c r="D358" s="156" t="s">
        <v>14</v>
      </c>
      <c r="E358" s="156" t="s">
        <v>17</v>
      </c>
      <c r="F358" s="159">
        <v>20010</v>
      </c>
      <c r="G358" s="159">
        <v>40017</v>
      </c>
      <c r="H358" s="159">
        <v>60026</v>
      </c>
    </row>
    <row r="359" spans="1:8" hidden="1" x14ac:dyDescent="0.25">
      <c r="A359" s="158">
        <v>1708</v>
      </c>
      <c r="B359" s="156" t="s">
        <v>727</v>
      </c>
      <c r="C359" s="156" t="s">
        <v>234</v>
      </c>
      <c r="D359" s="156" t="s">
        <v>14</v>
      </c>
      <c r="E359" s="156" t="s">
        <v>18</v>
      </c>
      <c r="F359" s="159">
        <v>20408</v>
      </c>
      <c r="G359" s="159">
        <v>40816</v>
      </c>
      <c r="H359" s="159">
        <v>61225</v>
      </c>
    </row>
    <row r="360" spans="1:8" hidden="1" x14ac:dyDescent="0.25">
      <c r="A360" s="158">
        <v>1709</v>
      </c>
      <c r="B360" s="156" t="s">
        <v>727</v>
      </c>
      <c r="C360" s="156" t="s">
        <v>234</v>
      </c>
      <c r="D360" s="156" t="s">
        <v>14</v>
      </c>
      <c r="E360" s="156" t="s">
        <v>19</v>
      </c>
      <c r="F360" s="159">
        <v>20816</v>
      </c>
      <c r="G360" s="159">
        <v>41634</v>
      </c>
      <c r="H360" s="159">
        <v>62450</v>
      </c>
    </row>
    <row r="361" spans="1:8" hidden="1" x14ac:dyDescent="0.25">
      <c r="A361" s="158">
        <v>1710</v>
      </c>
      <c r="B361" s="156" t="s">
        <v>727</v>
      </c>
      <c r="C361" s="156" t="s">
        <v>234</v>
      </c>
      <c r="D361" s="156" t="s">
        <v>14</v>
      </c>
      <c r="E361" s="156" t="s">
        <v>20</v>
      </c>
      <c r="F361" s="159">
        <v>21234</v>
      </c>
      <c r="G361" s="159">
        <v>42466</v>
      </c>
      <c r="H361" s="159">
        <v>63700</v>
      </c>
    </row>
    <row r="362" spans="1:8" hidden="1" x14ac:dyDescent="0.25">
      <c r="A362" s="158">
        <v>1711</v>
      </c>
      <c r="B362" s="156" t="s">
        <v>727</v>
      </c>
      <c r="C362" s="156" t="s">
        <v>234</v>
      </c>
      <c r="D362" s="156" t="s">
        <v>21</v>
      </c>
      <c r="E362" s="156" t="s">
        <v>15</v>
      </c>
      <c r="F362" s="159">
        <v>21657</v>
      </c>
      <c r="G362" s="159">
        <v>43315</v>
      </c>
      <c r="H362" s="159">
        <v>64972</v>
      </c>
    </row>
    <row r="363" spans="1:8" hidden="1" x14ac:dyDescent="0.25">
      <c r="A363" s="158">
        <v>1712</v>
      </c>
      <c r="B363" s="156" t="s">
        <v>727</v>
      </c>
      <c r="C363" s="156" t="s">
        <v>234</v>
      </c>
      <c r="D363" s="156" t="s">
        <v>21</v>
      </c>
      <c r="E363" s="156" t="s">
        <v>16</v>
      </c>
      <c r="F363" s="159">
        <v>22092</v>
      </c>
      <c r="G363" s="159">
        <v>44182</v>
      </c>
      <c r="H363" s="159">
        <v>66274</v>
      </c>
    </row>
    <row r="364" spans="1:8" hidden="1" x14ac:dyDescent="0.25">
      <c r="A364" s="158">
        <v>1713</v>
      </c>
      <c r="B364" s="156" t="s">
        <v>727</v>
      </c>
      <c r="C364" s="156" t="s">
        <v>234</v>
      </c>
      <c r="D364" s="156" t="s">
        <v>21</v>
      </c>
      <c r="E364" s="156" t="s">
        <v>17</v>
      </c>
      <c r="F364" s="159">
        <v>22532</v>
      </c>
      <c r="G364" s="159">
        <v>45065</v>
      </c>
      <c r="H364" s="159">
        <v>67596</v>
      </c>
    </row>
    <row r="365" spans="1:8" hidden="1" x14ac:dyDescent="0.25">
      <c r="A365" s="158">
        <v>1714</v>
      </c>
      <c r="B365" s="156" t="s">
        <v>727</v>
      </c>
      <c r="C365" s="156" t="s">
        <v>234</v>
      </c>
      <c r="D365" s="156" t="s">
        <v>21</v>
      </c>
      <c r="E365" s="156" t="s">
        <v>18</v>
      </c>
      <c r="F365" s="159">
        <v>22984</v>
      </c>
      <c r="G365" s="159">
        <v>45966</v>
      </c>
      <c r="H365" s="159">
        <v>68950</v>
      </c>
    </row>
    <row r="366" spans="1:8" hidden="1" x14ac:dyDescent="0.25">
      <c r="A366" s="158">
        <v>1715</v>
      </c>
      <c r="B366" s="156" t="s">
        <v>727</v>
      </c>
      <c r="C366" s="156" t="s">
        <v>234</v>
      </c>
      <c r="D366" s="156" t="s">
        <v>21</v>
      </c>
      <c r="E366" s="156" t="s">
        <v>19</v>
      </c>
      <c r="F366" s="159">
        <v>23443</v>
      </c>
      <c r="G366" s="159">
        <v>46885</v>
      </c>
      <c r="H366" s="159">
        <v>70327</v>
      </c>
    </row>
    <row r="367" spans="1:8" hidden="1" x14ac:dyDescent="0.25">
      <c r="A367" s="158">
        <v>1716</v>
      </c>
      <c r="B367" s="156" t="s">
        <v>727</v>
      </c>
      <c r="C367" s="156" t="s">
        <v>234</v>
      </c>
      <c r="D367" s="156" t="s">
        <v>21</v>
      </c>
      <c r="E367" s="156" t="s">
        <v>20</v>
      </c>
      <c r="F367" s="159">
        <v>23912</v>
      </c>
      <c r="G367" s="159">
        <v>47823</v>
      </c>
      <c r="H367" s="159">
        <v>71735</v>
      </c>
    </row>
    <row r="368" spans="1:8" hidden="1" x14ac:dyDescent="0.25">
      <c r="A368" s="158">
        <v>1717</v>
      </c>
      <c r="B368" s="156" t="s">
        <v>727</v>
      </c>
      <c r="C368" s="156" t="s">
        <v>234</v>
      </c>
      <c r="D368" s="156" t="s">
        <v>203</v>
      </c>
      <c r="E368" s="156" t="s">
        <v>15</v>
      </c>
      <c r="F368" s="159">
        <v>24389</v>
      </c>
      <c r="G368" s="159">
        <v>48779</v>
      </c>
      <c r="H368" s="159">
        <v>73168</v>
      </c>
    </row>
    <row r="369" spans="1:8" hidden="1" x14ac:dyDescent="0.25">
      <c r="A369" s="158">
        <v>1718</v>
      </c>
      <c r="B369" s="156" t="s">
        <v>727</v>
      </c>
      <c r="C369" s="156" t="s">
        <v>234</v>
      </c>
      <c r="D369" s="156" t="s">
        <v>203</v>
      </c>
      <c r="E369" s="156" t="s">
        <v>16</v>
      </c>
      <c r="F369" s="159">
        <v>24879</v>
      </c>
      <c r="G369" s="159">
        <v>49755</v>
      </c>
      <c r="H369" s="159">
        <v>74634</v>
      </c>
    </row>
    <row r="370" spans="1:8" hidden="1" x14ac:dyDescent="0.25">
      <c r="A370" s="158">
        <v>1719</v>
      </c>
      <c r="B370" s="156" t="s">
        <v>727</v>
      </c>
      <c r="C370" s="156" t="s">
        <v>234</v>
      </c>
      <c r="D370" s="156" t="s">
        <v>203</v>
      </c>
      <c r="E370" s="156" t="s">
        <v>17</v>
      </c>
      <c r="F370" s="159">
        <v>25376</v>
      </c>
      <c r="G370" s="159">
        <v>50750</v>
      </c>
      <c r="H370" s="159">
        <v>76126</v>
      </c>
    </row>
    <row r="371" spans="1:8" hidden="1" x14ac:dyDescent="0.25">
      <c r="A371" s="158">
        <v>1720</v>
      </c>
      <c r="B371" s="156" t="s">
        <v>727</v>
      </c>
      <c r="C371" s="156" t="s">
        <v>234</v>
      </c>
      <c r="D371" s="156" t="s">
        <v>203</v>
      </c>
      <c r="E371" s="156" t="s">
        <v>18</v>
      </c>
      <c r="F371" s="159">
        <v>25883</v>
      </c>
      <c r="G371" s="159">
        <v>51766</v>
      </c>
      <c r="H371" s="159">
        <v>77650</v>
      </c>
    </row>
    <row r="372" spans="1:8" hidden="1" x14ac:dyDescent="0.25">
      <c r="A372" s="158">
        <v>1721</v>
      </c>
      <c r="B372" s="156" t="s">
        <v>727</v>
      </c>
      <c r="C372" s="156" t="s">
        <v>234</v>
      </c>
      <c r="D372" s="156" t="s">
        <v>203</v>
      </c>
      <c r="E372" s="156" t="s">
        <v>19</v>
      </c>
      <c r="F372" s="159">
        <v>26401</v>
      </c>
      <c r="G372" s="159">
        <v>52801</v>
      </c>
      <c r="H372" s="159">
        <v>79203</v>
      </c>
    </row>
    <row r="373" spans="1:8" hidden="1" x14ac:dyDescent="0.25">
      <c r="A373" s="158">
        <v>1722</v>
      </c>
      <c r="B373" s="156" t="s">
        <v>727</v>
      </c>
      <c r="C373" s="156" t="s">
        <v>234</v>
      </c>
      <c r="D373" s="156" t="s">
        <v>203</v>
      </c>
      <c r="E373" s="156" t="s">
        <v>20</v>
      </c>
      <c r="F373" s="159">
        <v>26929</v>
      </c>
      <c r="G373" s="159">
        <v>53857</v>
      </c>
      <c r="H373" s="159">
        <v>80787</v>
      </c>
    </row>
    <row r="374" spans="1:8" hidden="1" x14ac:dyDescent="0.25">
      <c r="A374" s="158">
        <v>1723</v>
      </c>
      <c r="B374" s="156" t="s">
        <v>727</v>
      </c>
      <c r="C374" s="156" t="s">
        <v>305</v>
      </c>
      <c r="D374" s="156" t="s">
        <v>14</v>
      </c>
      <c r="E374" s="156" t="s">
        <v>15</v>
      </c>
      <c r="F374" s="159">
        <v>19231</v>
      </c>
      <c r="G374" s="159">
        <v>38462</v>
      </c>
      <c r="H374" s="159">
        <v>57694</v>
      </c>
    </row>
    <row r="375" spans="1:8" hidden="1" x14ac:dyDescent="0.25">
      <c r="A375" s="158">
        <v>1724</v>
      </c>
      <c r="B375" s="156" t="s">
        <v>727</v>
      </c>
      <c r="C375" s="156" t="s">
        <v>305</v>
      </c>
      <c r="D375" s="156" t="s">
        <v>14</v>
      </c>
      <c r="E375" s="156" t="s">
        <v>16</v>
      </c>
      <c r="F375" s="159">
        <v>19616</v>
      </c>
      <c r="G375" s="159">
        <v>39233</v>
      </c>
      <c r="H375" s="159">
        <v>58849</v>
      </c>
    </row>
    <row r="376" spans="1:8" hidden="1" x14ac:dyDescent="0.25">
      <c r="A376" s="158">
        <v>1725</v>
      </c>
      <c r="B376" s="156" t="s">
        <v>727</v>
      </c>
      <c r="C376" s="156" t="s">
        <v>305</v>
      </c>
      <c r="D376" s="156" t="s">
        <v>14</v>
      </c>
      <c r="E376" s="156" t="s">
        <v>17</v>
      </c>
      <c r="F376" s="159">
        <v>20010</v>
      </c>
      <c r="G376" s="159">
        <v>40017</v>
      </c>
      <c r="H376" s="159">
        <v>60026</v>
      </c>
    </row>
    <row r="377" spans="1:8" hidden="1" x14ac:dyDescent="0.25">
      <c r="A377" s="158">
        <v>1726</v>
      </c>
      <c r="B377" s="156" t="s">
        <v>727</v>
      </c>
      <c r="C377" s="156" t="s">
        <v>305</v>
      </c>
      <c r="D377" s="156" t="s">
        <v>14</v>
      </c>
      <c r="E377" s="156" t="s">
        <v>18</v>
      </c>
      <c r="F377" s="159">
        <v>20408</v>
      </c>
      <c r="G377" s="159">
        <v>40816</v>
      </c>
      <c r="H377" s="159">
        <v>61225</v>
      </c>
    </row>
    <row r="378" spans="1:8" hidden="1" x14ac:dyDescent="0.25">
      <c r="A378" s="158">
        <v>1727</v>
      </c>
      <c r="B378" s="156" t="s">
        <v>727</v>
      </c>
      <c r="C378" s="156" t="s">
        <v>305</v>
      </c>
      <c r="D378" s="156" t="s">
        <v>14</v>
      </c>
      <c r="E378" s="156" t="s">
        <v>19</v>
      </c>
      <c r="F378" s="159">
        <v>20816</v>
      </c>
      <c r="G378" s="159">
        <v>41634</v>
      </c>
      <c r="H378" s="159">
        <v>62450</v>
      </c>
    </row>
    <row r="379" spans="1:8" hidden="1" x14ac:dyDescent="0.25">
      <c r="A379" s="158">
        <v>1728</v>
      </c>
      <c r="B379" s="156" t="s">
        <v>727</v>
      </c>
      <c r="C379" s="156" t="s">
        <v>305</v>
      </c>
      <c r="D379" s="156" t="s">
        <v>14</v>
      </c>
      <c r="E379" s="156" t="s">
        <v>20</v>
      </c>
      <c r="F379" s="159">
        <v>21234</v>
      </c>
      <c r="G379" s="159">
        <v>42466</v>
      </c>
      <c r="H379" s="159">
        <v>63700</v>
      </c>
    </row>
    <row r="380" spans="1:8" hidden="1" x14ac:dyDescent="0.25">
      <c r="A380" s="158">
        <v>1729</v>
      </c>
      <c r="B380" s="156" t="s">
        <v>727</v>
      </c>
      <c r="C380" s="156" t="s">
        <v>305</v>
      </c>
      <c r="D380" s="156" t="s">
        <v>21</v>
      </c>
      <c r="E380" s="156" t="s">
        <v>15</v>
      </c>
      <c r="F380" s="159">
        <v>21657</v>
      </c>
      <c r="G380" s="159">
        <v>43315</v>
      </c>
      <c r="H380" s="159">
        <v>64972</v>
      </c>
    </row>
    <row r="381" spans="1:8" hidden="1" x14ac:dyDescent="0.25">
      <c r="A381" s="158">
        <v>1730</v>
      </c>
      <c r="B381" s="156" t="s">
        <v>727</v>
      </c>
      <c r="C381" s="156" t="s">
        <v>305</v>
      </c>
      <c r="D381" s="156" t="s">
        <v>21</v>
      </c>
      <c r="E381" s="156" t="s">
        <v>16</v>
      </c>
      <c r="F381" s="159">
        <v>22092</v>
      </c>
      <c r="G381" s="159">
        <v>44182</v>
      </c>
      <c r="H381" s="159">
        <v>66274</v>
      </c>
    </row>
    <row r="382" spans="1:8" hidden="1" x14ac:dyDescent="0.25">
      <c r="A382" s="158">
        <v>1731</v>
      </c>
      <c r="B382" s="156" t="s">
        <v>727</v>
      </c>
      <c r="C382" s="156" t="s">
        <v>305</v>
      </c>
      <c r="D382" s="156" t="s">
        <v>21</v>
      </c>
      <c r="E382" s="156" t="s">
        <v>17</v>
      </c>
      <c r="F382" s="159">
        <v>22532</v>
      </c>
      <c r="G382" s="159">
        <v>45065</v>
      </c>
      <c r="H382" s="159">
        <v>67596</v>
      </c>
    </row>
    <row r="383" spans="1:8" hidden="1" x14ac:dyDescent="0.25">
      <c r="A383" s="158">
        <v>1732</v>
      </c>
      <c r="B383" s="156" t="s">
        <v>727</v>
      </c>
      <c r="C383" s="156" t="s">
        <v>305</v>
      </c>
      <c r="D383" s="156" t="s">
        <v>21</v>
      </c>
      <c r="E383" s="156" t="s">
        <v>18</v>
      </c>
      <c r="F383" s="159">
        <v>22984</v>
      </c>
      <c r="G383" s="159">
        <v>45966</v>
      </c>
      <c r="H383" s="159">
        <v>68950</v>
      </c>
    </row>
    <row r="384" spans="1:8" hidden="1" x14ac:dyDescent="0.25">
      <c r="A384" s="158">
        <v>1733</v>
      </c>
      <c r="B384" s="156" t="s">
        <v>727</v>
      </c>
      <c r="C384" s="156" t="s">
        <v>305</v>
      </c>
      <c r="D384" s="156" t="s">
        <v>21</v>
      </c>
      <c r="E384" s="156" t="s">
        <v>19</v>
      </c>
      <c r="F384" s="159">
        <v>23443</v>
      </c>
      <c r="G384" s="159">
        <v>46885</v>
      </c>
      <c r="H384" s="159">
        <v>70327</v>
      </c>
    </row>
    <row r="385" spans="1:8" hidden="1" x14ac:dyDescent="0.25">
      <c r="A385" s="158">
        <v>1734</v>
      </c>
      <c r="B385" s="156" t="s">
        <v>727</v>
      </c>
      <c r="C385" s="156" t="s">
        <v>305</v>
      </c>
      <c r="D385" s="156" t="s">
        <v>21</v>
      </c>
      <c r="E385" s="156" t="s">
        <v>20</v>
      </c>
      <c r="F385" s="159">
        <v>23912</v>
      </c>
      <c r="G385" s="159">
        <v>47823</v>
      </c>
      <c r="H385" s="159">
        <v>71735</v>
      </c>
    </row>
    <row r="386" spans="1:8" hidden="1" x14ac:dyDescent="0.25">
      <c r="A386" s="158">
        <v>1735</v>
      </c>
      <c r="B386" s="156" t="s">
        <v>727</v>
      </c>
      <c r="C386" s="156" t="s">
        <v>305</v>
      </c>
      <c r="D386" s="156" t="s">
        <v>203</v>
      </c>
      <c r="E386" s="156" t="s">
        <v>15</v>
      </c>
      <c r="F386" s="159">
        <v>24389</v>
      </c>
      <c r="G386" s="159">
        <v>48779</v>
      </c>
      <c r="H386" s="159">
        <v>73168</v>
      </c>
    </row>
    <row r="387" spans="1:8" hidden="1" x14ac:dyDescent="0.25">
      <c r="A387" s="158">
        <v>1736</v>
      </c>
      <c r="B387" s="156" t="s">
        <v>727</v>
      </c>
      <c r="C387" s="156" t="s">
        <v>305</v>
      </c>
      <c r="D387" s="156" t="s">
        <v>203</v>
      </c>
      <c r="E387" s="156" t="s">
        <v>16</v>
      </c>
      <c r="F387" s="159">
        <v>24879</v>
      </c>
      <c r="G387" s="159">
        <v>49755</v>
      </c>
      <c r="H387" s="159">
        <v>74634</v>
      </c>
    </row>
    <row r="388" spans="1:8" hidden="1" x14ac:dyDescent="0.25">
      <c r="A388" s="158">
        <v>1737</v>
      </c>
      <c r="B388" s="156" t="s">
        <v>727</v>
      </c>
      <c r="C388" s="156" t="s">
        <v>305</v>
      </c>
      <c r="D388" s="156" t="s">
        <v>203</v>
      </c>
      <c r="E388" s="156" t="s">
        <v>17</v>
      </c>
      <c r="F388" s="159">
        <v>25376</v>
      </c>
      <c r="G388" s="159">
        <v>50750</v>
      </c>
      <c r="H388" s="159">
        <v>76126</v>
      </c>
    </row>
    <row r="389" spans="1:8" hidden="1" x14ac:dyDescent="0.25">
      <c r="A389" s="158">
        <v>1738</v>
      </c>
      <c r="B389" s="156" t="s">
        <v>727</v>
      </c>
      <c r="C389" s="156" t="s">
        <v>305</v>
      </c>
      <c r="D389" s="156" t="s">
        <v>203</v>
      </c>
      <c r="E389" s="156" t="s">
        <v>18</v>
      </c>
      <c r="F389" s="159">
        <v>25883</v>
      </c>
      <c r="G389" s="159">
        <v>51766</v>
      </c>
      <c r="H389" s="159">
        <v>77650</v>
      </c>
    </row>
    <row r="390" spans="1:8" hidden="1" x14ac:dyDescent="0.25">
      <c r="A390" s="158">
        <v>1739</v>
      </c>
      <c r="B390" s="156" t="s">
        <v>727</v>
      </c>
      <c r="C390" s="156" t="s">
        <v>305</v>
      </c>
      <c r="D390" s="156" t="s">
        <v>203</v>
      </c>
      <c r="E390" s="156" t="s">
        <v>19</v>
      </c>
      <c r="F390" s="159">
        <v>26401</v>
      </c>
      <c r="G390" s="159">
        <v>52801</v>
      </c>
      <c r="H390" s="159">
        <v>79203</v>
      </c>
    </row>
    <row r="391" spans="1:8" hidden="1" x14ac:dyDescent="0.25">
      <c r="A391" s="158">
        <v>1740</v>
      </c>
      <c r="B391" s="156" t="s">
        <v>727</v>
      </c>
      <c r="C391" s="156" t="s">
        <v>305</v>
      </c>
      <c r="D391" s="156" t="s">
        <v>203</v>
      </c>
      <c r="E391" s="156" t="s">
        <v>20</v>
      </c>
      <c r="F391" s="159">
        <v>26929</v>
      </c>
      <c r="G391" s="159">
        <v>53857</v>
      </c>
      <c r="H391" s="159">
        <v>80787</v>
      </c>
    </row>
    <row r="392" spans="1:8" hidden="1" x14ac:dyDescent="0.25">
      <c r="A392" s="158">
        <v>1741</v>
      </c>
      <c r="B392" s="156" t="s">
        <v>727</v>
      </c>
      <c r="C392" s="156" t="s">
        <v>328</v>
      </c>
      <c r="D392" s="156" t="s">
        <v>14</v>
      </c>
      <c r="E392" s="156" t="s">
        <v>15</v>
      </c>
      <c r="F392" s="159">
        <v>23238</v>
      </c>
      <c r="G392" s="159">
        <v>46478</v>
      </c>
      <c r="H392" s="159">
        <v>69717</v>
      </c>
    </row>
    <row r="393" spans="1:8" hidden="1" x14ac:dyDescent="0.25">
      <c r="A393" s="158">
        <v>1742</v>
      </c>
      <c r="B393" s="156" t="s">
        <v>727</v>
      </c>
      <c r="C393" s="156" t="s">
        <v>328</v>
      </c>
      <c r="D393" s="156" t="s">
        <v>14</v>
      </c>
      <c r="E393" s="156" t="s">
        <v>16</v>
      </c>
      <c r="F393" s="159">
        <v>23705</v>
      </c>
      <c r="G393" s="159">
        <v>47409</v>
      </c>
      <c r="H393" s="159">
        <v>71114</v>
      </c>
    </row>
    <row r="394" spans="1:8" hidden="1" x14ac:dyDescent="0.25">
      <c r="A394" s="158">
        <v>1743</v>
      </c>
      <c r="B394" s="156" t="s">
        <v>727</v>
      </c>
      <c r="C394" s="156" t="s">
        <v>328</v>
      </c>
      <c r="D394" s="156" t="s">
        <v>14</v>
      </c>
      <c r="E394" s="156" t="s">
        <v>17</v>
      </c>
      <c r="F394" s="159">
        <v>24178</v>
      </c>
      <c r="G394" s="159">
        <v>48357</v>
      </c>
      <c r="H394" s="159">
        <v>72535</v>
      </c>
    </row>
    <row r="395" spans="1:8" hidden="1" x14ac:dyDescent="0.25">
      <c r="A395" s="158">
        <v>1744</v>
      </c>
      <c r="B395" s="156" t="s">
        <v>727</v>
      </c>
      <c r="C395" s="156" t="s">
        <v>328</v>
      </c>
      <c r="D395" s="156" t="s">
        <v>14</v>
      </c>
      <c r="E395" s="156" t="s">
        <v>18</v>
      </c>
      <c r="F395" s="159">
        <v>24661</v>
      </c>
      <c r="G395" s="159">
        <v>49322</v>
      </c>
      <c r="H395" s="159">
        <v>73983</v>
      </c>
    </row>
    <row r="396" spans="1:8" hidden="1" x14ac:dyDescent="0.25">
      <c r="A396" s="158">
        <v>1745</v>
      </c>
      <c r="B396" s="156" t="s">
        <v>727</v>
      </c>
      <c r="C396" s="156" t="s">
        <v>328</v>
      </c>
      <c r="D396" s="156" t="s">
        <v>14</v>
      </c>
      <c r="E396" s="156" t="s">
        <v>19</v>
      </c>
      <c r="F396" s="159">
        <v>25155</v>
      </c>
      <c r="G396" s="159">
        <v>50309</v>
      </c>
      <c r="H396" s="159">
        <v>75463</v>
      </c>
    </row>
    <row r="397" spans="1:8" hidden="1" x14ac:dyDescent="0.25">
      <c r="A397" s="158">
        <v>1746</v>
      </c>
      <c r="B397" s="156" t="s">
        <v>727</v>
      </c>
      <c r="C397" s="156" t="s">
        <v>328</v>
      </c>
      <c r="D397" s="156" t="s">
        <v>14</v>
      </c>
      <c r="E397" s="156" t="s">
        <v>20</v>
      </c>
      <c r="F397" s="159">
        <v>25657</v>
      </c>
      <c r="G397" s="159">
        <v>51316</v>
      </c>
      <c r="H397" s="159">
        <v>76973</v>
      </c>
    </row>
    <row r="398" spans="1:8" hidden="1" x14ac:dyDescent="0.25">
      <c r="A398" s="158">
        <v>1747</v>
      </c>
      <c r="B398" s="156" t="s">
        <v>727</v>
      </c>
      <c r="C398" s="156" t="s">
        <v>328</v>
      </c>
      <c r="D398" s="156" t="s">
        <v>21</v>
      </c>
      <c r="E398" s="156" t="s">
        <v>15</v>
      </c>
      <c r="F398" s="159">
        <v>26171</v>
      </c>
      <c r="G398" s="159">
        <v>52341</v>
      </c>
      <c r="H398" s="159">
        <v>78512</v>
      </c>
    </row>
    <row r="399" spans="1:8" hidden="1" x14ac:dyDescent="0.25">
      <c r="A399" s="158">
        <v>1748</v>
      </c>
      <c r="B399" s="156" t="s">
        <v>727</v>
      </c>
      <c r="C399" s="156" t="s">
        <v>328</v>
      </c>
      <c r="D399" s="156" t="s">
        <v>21</v>
      </c>
      <c r="E399" s="156" t="s">
        <v>16</v>
      </c>
      <c r="F399" s="159">
        <v>26695</v>
      </c>
      <c r="G399" s="159">
        <v>53389</v>
      </c>
      <c r="H399" s="159">
        <v>80085</v>
      </c>
    </row>
    <row r="400" spans="1:8" hidden="1" x14ac:dyDescent="0.25">
      <c r="A400" s="158">
        <v>1749</v>
      </c>
      <c r="B400" s="156" t="s">
        <v>727</v>
      </c>
      <c r="C400" s="156" t="s">
        <v>328</v>
      </c>
      <c r="D400" s="156" t="s">
        <v>21</v>
      </c>
      <c r="E400" s="156" t="s">
        <v>17</v>
      </c>
      <c r="F400" s="159">
        <v>27228</v>
      </c>
      <c r="G400" s="159">
        <v>54457</v>
      </c>
      <c r="H400" s="159">
        <v>81685</v>
      </c>
    </row>
    <row r="401" spans="1:8" hidden="1" x14ac:dyDescent="0.25">
      <c r="A401" s="158">
        <v>1750</v>
      </c>
      <c r="B401" s="156" t="s">
        <v>727</v>
      </c>
      <c r="C401" s="156" t="s">
        <v>328</v>
      </c>
      <c r="D401" s="156" t="s">
        <v>21</v>
      </c>
      <c r="E401" s="156" t="s">
        <v>18</v>
      </c>
      <c r="F401" s="159">
        <v>27773</v>
      </c>
      <c r="G401" s="159">
        <v>55547</v>
      </c>
      <c r="H401" s="159">
        <v>83319</v>
      </c>
    </row>
    <row r="402" spans="1:8" hidden="1" x14ac:dyDescent="0.25">
      <c r="A402" s="158">
        <v>1751</v>
      </c>
      <c r="B402" s="156" t="s">
        <v>727</v>
      </c>
      <c r="C402" s="156" t="s">
        <v>328</v>
      </c>
      <c r="D402" s="156" t="s">
        <v>21</v>
      </c>
      <c r="E402" s="156" t="s">
        <v>19</v>
      </c>
      <c r="F402" s="159">
        <v>28328</v>
      </c>
      <c r="G402" s="159">
        <v>56656</v>
      </c>
      <c r="H402" s="159">
        <v>84983</v>
      </c>
    </row>
    <row r="403" spans="1:8" hidden="1" x14ac:dyDescent="0.25">
      <c r="A403" s="158">
        <v>1752</v>
      </c>
      <c r="B403" s="156" t="s">
        <v>727</v>
      </c>
      <c r="C403" s="156" t="s">
        <v>328</v>
      </c>
      <c r="D403" s="156" t="s">
        <v>21</v>
      </c>
      <c r="E403" s="156" t="s">
        <v>20</v>
      </c>
      <c r="F403" s="159">
        <v>28895</v>
      </c>
      <c r="G403" s="159">
        <v>57788</v>
      </c>
      <c r="H403" s="159">
        <v>86683</v>
      </c>
    </row>
    <row r="404" spans="1:8" hidden="1" x14ac:dyDescent="0.25">
      <c r="A404" s="158">
        <v>1753</v>
      </c>
      <c r="B404" s="156" t="s">
        <v>727</v>
      </c>
      <c r="C404" s="156" t="s">
        <v>328</v>
      </c>
      <c r="D404" s="156" t="s">
        <v>203</v>
      </c>
      <c r="E404" s="156" t="s">
        <v>15</v>
      </c>
      <c r="F404" s="159">
        <v>29473</v>
      </c>
      <c r="G404" s="159">
        <v>58946</v>
      </c>
      <c r="H404" s="159">
        <v>88419</v>
      </c>
    </row>
    <row r="405" spans="1:8" hidden="1" x14ac:dyDescent="0.25">
      <c r="A405" s="158">
        <v>1754</v>
      </c>
      <c r="B405" s="156" t="s">
        <v>727</v>
      </c>
      <c r="C405" s="156" t="s">
        <v>328</v>
      </c>
      <c r="D405" s="156" t="s">
        <v>203</v>
      </c>
      <c r="E405" s="156" t="s">
        <v>16</v>
      </c>
      <c r="F405" s="159">
        <v>30062</v>
      </c>
      <c r="G405" s="159">
        <v>60124</v>
      </c>
      <c r="H405" s="159">
        <v>90185</v>
      </c>
    </row>
    <row r="406" spans="1:8" hidden="1" x14ac:dyDescent="0.25">
      <c r="A406" s="158">
        <v>1755</v>
      </c>
      <c r="B406" s="156" t="s">
        <v>727</v>
      </c>
      <c r="C406" s="156" t="s">
        <v>328</v>
      </c>
      <c r="D406" s="156" t="s">
        <v>203</v>
      </c>
      <c r="E406" s="156" t="s">
        <v>17</v>
      </c>
      <c r="F406" s="159">
        <v>30663</v>
      </c>
      <c r="G406" s="159">
        <v>61327</v>
      </c>
      <c r="H406" s="159">
        <v>91990</v>
      </c>
    </row>
    <row r="407" spans="1:8" hidden="1" x14ac:dyDescent="0.25">
      <c r="A407" s="158">
        <v>1756</v>
      </c>
      <c r="B407" s="156" t="s">
        <v>727</v>
      </c>
      <c r="C407" s="156" t="s">
        <v>328</v>
      </c>
      <c r="D407" s="156" t="s">
        <v>203</v>
      </c>
      <c r="E407" s="156" t="s">
        <v>18</v>
      </c>
      <c r="F407" s="159">
        <v>31276</v>
      </c>
      <c r="G407" s="159">
        <v>62553</v>
      </c>
      <c r="H407" s="159">
        <v>93829</v>
      </c>
    </row>
    <row r="408" spans="1:8" hidden="1" x14ac:dyDescent="0.25">
      <c r="A408" s="158">
        <v>1757</v>
      </c>
      <c r="B408" s="156" t="s">
        <v>727</v>
      </c>
      <c r="C408" s="156" t="s">
        <v>328</v>
      </c>
      <c r="D408" s="156" t="s">
        <v>203</v>
      </c>
      <c r="E408" s="156" t="s">
        <v>19</v>
      </c>
      <c r="F408" s="159">
        <v>31902</v>
      </c>
      <c r="G408" s="159">
        <v>63804</v>
      </c>
      <c r="H408" s="159">
        <v>95706</v>
      </c>
    </row>
    <row r="409" spans="1:8" hidden="1" x14ac:dyDescent="0.25">
      <c r="A409" s="158">
        <v>1758</v>
      </c>
      <c r="B409" s="156" t="s">
        <v>727</v>
      </c>
      <c r="C409" s="156" t="s">
        <v>328</v>
      </c>
      <c r="D409" s="156" t="s">
        <v>203</v>
      </c>
      <c r="E409" s="156" t="s">
        <v>20</v>
      </c>
      <c r="F409" s="159">
        <v>32546</v>
      </c>
      <c r="G409" s="159">
        <v>65080</v>
      </c>
      <c r="H409" s="159">
        <v>97620</v>
      </c>
    </row>
    <row r="410" spans="1:8" hidden="1" x14ac:dyDescent="0.25">
      <c r="A410" s="158">
        <v>1759</v>
      </c>
      <c r="B410" s="156" t="s">
        <v>727</v>
      </c>
      <c r="C410" s="156" t="s">
        <v>361</v>
      </c>
      <c r="D410" s="156" t="s">
        <v>14</v>
      </c>
      <c r="E410" s="156" t="s">
        <v>15</v>
      </c>
      <c r="F410" s="159">
        <v>15838</v>
      </c>
      <c r="G410" s="159">
        <v>31675</v>
      </c>
      <c r="H410" s="159">
        <v>47513</v>
      </c>
    </row>
    <row r="411" spans="1:8" hidden="1" x14ac:dyDescent="0.25">
      <c r="A411" s="158">
        <v>1760</v>
      </c>
      <c r="B411" s="156" t="s">
        <v>727</v>
      </c>
      <c r="C411" s="156" t="s">
        <v>361</v>
      </c>
      <c r="D411" s="156" t="s">
        <v>14</v>
      </c>
      <c r="E411" s="156" t="s">
        <v>16</v>
      </c>
      <c r="F411" s="159">
        <v>16154</v>
      </c>
      <c r="G411" s="159">
        <v>32309</v>
      </c>
      <c r="H411" s="159">
        <v>48462</v>
      </c>
    </row>
    <row r="412" spans="1:8" hidden="1" x14ac:dyDescent="0.25">
      <c r="A412" s="158">
        <v>1761</v>
      </c>
      <c r="B412" s="156" t="s">
        <v>727</v>
      </c>
      <c r="C412" s="156" t="s">
        <v>361</v>
      </c>
      <c r="D412" s="156" t="s">
        <v>14</v>
      </c>
      <c r="E412" s="156" t="s">
        <v>17</v>
      </c>
      <c r="F412" s="159">
        <v>16477</v>
      </c>
      <c r="G412" s="159">
        <v>32954</v>
      </c>
      <c r="H412" s="159">
        <v>49431</v>
      </c>
    </row>
    <row r="413" spans="1:8" hidden="1" x14ac:dyDescent="0.25">
      <c r="A413" s="158">
        <v>1762</v>
      </c>
      <c r="B413" s="156" t="s">
        <v>727</v>
      </c>
      <c r="C413" s="156" t="s">
        <v>361</v>
      </c>
      <c r="D413" s="156" t="s">
        <v>14</v>
      </c>
      <c r="E413" s="156" t="s">
        <v>18</v>
      </c>
      <c r="F413" s="159">
        <v>16807</v>
      </c>
      <c r="G413" s="159">
        <v>33612</v>
      </c>
      <c r="H413" s="159">
        <v>50420</v>
      </c>
    </row>
    <row r="414" spans="1:8" hidden="1" x14ac:dyDescent="0.25">
      <c r="A414" s="158">
        <v>1763</v>
      </c>
      <c r="B414" s="156" t="s">
        <v>727</v>
      </c>
      <c r="C414" s="156" t="s">
        <v>361</v>
      </c>
      <c r="D414" s="156" t="s">
        <v>14</v>
      </c>
      <c r="E414" s="156" t="s">
        <v>19</v>
      </c>
      <c r="F414" s="159">
        <v>17142</v>
      </c>
      <c r="G414" s="159">
        <v>34285</v>
      </c>
      <c r="H414" s="159">
        <v>51428</v>
      </c>
    </row>
    <row r="415" spans="1:8" hidden="1" x14ac:dyDescent="0.25">
      <c r="A415" s="158">
        <v>1764</v>
      </c>
      <c r="B415" s="156" t="s">
        <v>727</v>
      </c>
      <c r="C415" s="156" t="s">
        <v>361</v>
      </c>
      <c r="D415" s="156" t="s">
        <v>14</v>
      </c>
      <c r="E415" s="156" t="s">
        <v>20</v>
      </c>
      <c r="F415" s="159">
        <v>17486</v>
      </c>
      <c r="G415" s="159">
        <v>34972</v>
      </c>
      <c r="H415" s="159">
        <v>52459</v>
      </c>
    </row>
    <row r="416" spans="1:8" hidden="1" x14ac:dyDescent="0.25">
      <c r="A416" s="158">
        <v>1765</v>
      </c>
      <c r="B416" s="156" t="s">
        <v>727</v>
      </c>
      <c r="C416" s="156" t="s">
        <v>361</v>
      </c>
      <c r="D416" s="156" t="s">
        <v>21</v>
      </c>
      <c r="E416" s="156" t="s">
        <v>15</v>
      </c>
      <c r="F416" s="159">
        <v>17835</v>
      </c>
      <c r="G416" s="159">
        <v>35670</v>
      </c>
      <c r="H416" s="159">
        <v>53505</v>
      </c>
    </row>
    <row r="417" spans="1:8" hidden="1" x14ac:dyDescent="0.25">
      <c r="A417" s="158">
        <v>1766</v>
      </c>
      <c r="B417" s="156" t="s">
        <v>727</v>
      </c>
      <c r="C417" s="156" t="s">
        <v>361</v>
      </c>
      <c r="D417" s="156" t="s">
        <v>21</v>
      </c>
      <c r="E417" s="156" t="s">
        <v>16</v>
      </c>
      <c r="F417" s="159">
        <v>18191</v>
      </c>
      <c r="G417" s="159">
        <v>36384</v>
      </c>
      <c r="H417" s="159">
        <v>54575</v>
      </c>
    </row>
    <row r="418" spans="1:8" hidden="1" x14ac:dyDescent="0.25">
      <c r="A418" s="158">
        <v>1767</v>
      </c>
      <c r="B418" s="156" t="s">
        <v>727</v>
      </c>
      <c r="C418" s="156" t="s">
        <v>361</v>
      </c>
      <c r="D418" s="156" t="s">
        <v>21</v>
      </c>
      <c r="E418" s="156" t="s">
        <v>17</v>
      </c>
      <c r="F418" s="159">
        <v>18556</v>
      </c>
      <c r="G418" s="159">
        <v>37112</v>
      </c>
      <c r="H418" s="159">
        <v>55668</v>
      </c>
    </row>
    <row r="419" spans="1:8" hidden="1" x14ac:dyDescent="0.25">
      <c r="A419" s="158">
        <v>1768</v>
      </c>
      <c r="B419" s="156" t="s">
        <v>727</v>
      </c>
      <c r="C419" s="156" t="s">
        <v>361</v>
      </c>
      <c r="D419" s="156" t="s">
        <v>21</v>
      </c>
      <c r="E419" s="156" t="s">
        <v>18</v>
      </c>
      <c r="F419" s="159">
        <v>18927</v>
      </c>
      <c r="G419" s="159">
        <v>37853</v>
      </c>
      <c r="H419" s="159">
        <v>56780</v>
      </c>
    </row>
    <row r="420" spans="1:8" hidden="1" x14ac:dyDescent="0.25">
      <c r="A420" s="158">
        <v>1769</v>
      </c>
      <c r="B420" s="156" t="s">
        <v>727</v>
      </c>
      <c r="C420" s="156" t="s">
        <v>361</v>
      </c>
      <c r="D420" s="156" t="s">
        <v>21</v>
      </c>
      <c r="E420" s="156" t="s">
        <v>19</v>
      </c>
      <c r="F420" s="159">
        <v>19306</v>
      </c>
      <c r="G420" s="159">
        <v>38611</v>
      </c>
      <c r="H420" s="159">
        <v>57916</v>
      </c>
    </row>
    <row r="421" spans="1:8" hidden="1" x14ac:dyDescent="0.25">
      <c r="A421" s="158">
        <v>1770</v>
      </c>
      <c r="B421" s="156" t="s">
        <v>727</v>
      </c>
      <c r="C421" s="156" t="s">
        <v>361</v>
      </c>
      <c r="D421" s="156" t="s">
        <v>21</v>
      </c>
      <c r="E421" s="156" t="s">
        <v>20</v>
      </c>
      <c r="F421" s="159">
        <v>19692</v>
      </c>
      <c r="G421" s="159">
        <v>39384</v>
      </c>
      <c r="H421" s="159">
        <v>59076</v>
      </c>
    </row>
    <row r="422" spans="1:8" hidden="1" x14ac:dyDescent="0.25">
      <c r="A422" s="158">
        <v>1771</v>
      </c>
      <c r="B422" s="156" t="s">
        <v>727</v>
      </c>
      <c r="C422" s="156" t="s">
        <v>361</v>
      </c>
      <c r="D422" s="156" t="s">
        <v>203</v>
      </c>
      <c r="E422" s="156" t="s">
        <v>15</v>
      </c>
      <c r="F422" s="159">
        <v>20085</v>
      </c>
      <c r="G422" s="159">
        <v>40171</v>
      </c>
      <c r="H422" s="159">
        <v>60256</v>
      </c>
    </row>
    <row r="423" spans="1:8" hidden="1" x14ac:dyDescent="0.25">
      <c r="A423" s="158">
        <v>1772</v>
      </c>
      <c r="B423" s="156" t="s">
        <v>727</v>
      </c>
      <c r="C423" s="156" t="s">
        <v>361</v>
      </c>
      <c r="D423" s="156" t="s">
        <v>203</v>
      </c>
      <c r="E423" s="156" t="s">
        <v>16</v>
      </c>
      <c r="F423" s="159">
        <v>20488</v>
      </c>
      <c r="G423" s="159">
        <v>40974</v>
      </c>
      <c r="H423" s="159">
        <v>61463</v>
      </c>
    </row>
    <row r="424" spans="1:8" hidden="1" x14ac:dyDescent="0.25">
      <c r="A424" s="158">
        <v>1773</v>
      </c>
      <c r="B424" s="156" t="s">
        <v>727</v>
      </c>
      <c r="C424" s="156" t="s">
        <v>361</v>
      </c>
      <c r="D424" s="156" t="s">
        <v>203</v>
      </c>
      <c r="E424" s="156" t="s">
        <v>17</v>
      </c>
      <c r="F424" s="159">
        <v>20897</v>
      </c>
      <c r="G424" s="159">
        <v>41794</v>
      </c>
      <c r="H424" s="159">
        <v>62691</v>
      </c>
    </row>
    <row r="425" spans="1:8" hidden="1" x14ac:dyDescent="0.25">
      <c r="A425" s="158">
        <v>1774</v>
      </c>
      <c r="B425" s="156" t="s">
        <v>727</v>
      </c>
      <c r="C425" s="156" t="s">
        <v>361</v>
      </c>
      <c r="D425" s="156" t="s">
        <v>203</v>
      </c>
      <c r="E425" s="156" t="s">
        <v>18</v>
      </c>
      <c r="F425" s="159">
        <v>21314</v>
      </c>
      <c r="G425" s="159">
        <v>42631</v>
      </c>
      <c r="H425" s="159">
        <v>63945</v>
      </c>
    </row>
    <row r="426" spans="1:8" hidden="1" x14ac:dyDescent="0.25">
      <c r="A426" s="158">
        <v>1775</v>
      </c>
      <c r="B426" s="156" t="s">
        <v>727</v>
      </c>
      <c r="C426" s="156" t="s">
        <v>361</v>
      </c>
      <c r="D426" s="156" t="s">
        <v>203</v>
      </c>
      <c r="E426" s="156" t="s">
        <v>19</v>
      </c>
      <c r="F426" s="159">
        <v>21740</v>
      </c>
      <c r="G426" s="159">
        <v>43481</v>
      </c>
      <c r="H426" s="159">
        <v>65223</v>
      </c>
    </row>
    <row r="427" spans="1:8" hidden="1" x14ac:dyDescent="0.25">
      <c r="A427" s="158">
        <v>1776</v>
      </c>
      <c r="B427" s="156" t="s">
        <v>727</v>
      </c>
      <c r="C427" s="156" t="s">
        <v>361</v>
      </c>
      <c r="D427" s="156" t="s">
        <v>203</v>
      </c>
      <c r="E427" s="156" t="s">
        <v>20</v>
      </c>
      <c r="F427" s="159">
        <v>22175</v>
      </c>
      <c r="G427" s="159">
        <v>44352</v>
      </c>
      <c r="H427" s="159">
        <v>66528</v>
      </c>
    </row>
    <row r="428" spans="1:8" hidden="1" x14ac:dyDescent="0.25">
      <c r="A428" s="158">
        <v>1777</v>
      </c>
      <c r="B428" s="156" t="s">
        <v>727</v>
      </c>
      <c r="C428" s="156" t="s">
        <v>262</v>
      </c>
      <c r="D428" s="156" t="s">
        <v>14</v>
      </c>
      <c r="E428" s="156" t="s">
        <v>15</v>
      </c>
      <c r="F428" s="159">
        <v>13413</v>
      </c>
      <c r="G428" s="159">
        <v>26828</v>
      </c>
      <c r="H428" s="159">
        <v>40242</v>
      </c>
    </row>
    <row r="429" spans="1:8" hidden="1" x14ac:dyDescent="0.25">
      <c r="A429" s="158">
        <v>1778</v>
      </c>
      <c r="B429" s="156" t="s">
        <v>727</v>
      </c>
      <c r="C429" s="156" t="s">
        <v>262</v>
      </c>
      <c r="D429" s="156" t="s">
        <v>14</v>
      </c>
      <c r="E429" s="156" t="s">
        <v>16</v>
      </c>
      <c r="F429" s="159">
        <v>13682</v>
      </c>
      <c r="G429" s="159">
        <v>27363</v>
      </c>
      <c r="H429" s="159">
        <v>41046</v>
      </c>
    </row>
    <row r="430" spans="1:8" hidden="1" x14ac:dyDescent="0.25">
      <c r="A430" s="158">
        <v>1779</v>
      </c>
      <c r="B430" s="156" t="s">
        <v>727</v>
      </c>
      <c r="C430" s="156" t="s">
        <v>262</v>
      </c>
      <c r="D430" s="156" t="s">
        <v>14</v>
      </c>
      <c r="E430" s="156" t="s">
        <v>17</v>
      </c>
      <c r="F430" s="159">
        <v>13955</v>
      </c>
      <c r="G430" s="159">
        <v>27913</v>
      </c>
      <c r="H430" s="159">
        <v>41868</v>
      </c>
    </row>
    <row r="431" spans="1:8" hidden="1" x14ac:dyDescent="0.25">
      <c r="A431" s="158">
        <v>1780</v>
      </c>
      <c r="B431" s="156" t="s">
        <v>727</v>
      </c>
      <c r="C431" s="156" t="s">
        <v>262</v>
      </c>
      <c r="D431" s="156" t="s">
        <v>14</v>
      </c>
      <c r="E431" s="156" t="s">
        <v>18</v>
      </c>
      <c r="F431" s="159">
        <v>14236</v>
      </c>
      <c r="G431" s="159">
        <v>28470</v>
      </c>
      <c r="H431" s="159">
        <v>42706</v>
      </c>
    </row>
    <row r="432" spans="1:8" hidden="1" x14ac:dyDescent="0.25">
      <c r="A432" s="158">
        <v>1781</v>
      </c>
      <c r="B432" s="156" t="s">
        <v>727</v>
      </c>
      <c r="C432" s="156" t="s">
        <v>262</v>
      </c>
      <c r="D432" s="156" t="s">
        <v>14</v>
      </c>
      <c r="E432" s="156" t="s">
        <v>19</v>
      </c>
      <c r="F432" s="159">
        <v>14519</v>
      </c>
      <c r="G432" s="159">
        <v>29038</v>
      </c>
      <c r="H432" s="159">
        <v>43557</v>
      </c>
    </row>
    <row r="433" spans="1:8" hidden="1" x14ac:dyDescent="0.25">
      <c r="A433" s="158">
        <v>1782</v>
      </c>
      <c r="B433" s="156" t="s">
        <v>727</v>
      </c>
      <c r="C433" s="156" t="s">
        <v>262</v>
      </c>
      <c r="D433" s="156" t="s">
        <v>14</v>
      </c>
      <c r="E433" s="156" t="s">
        <v>20</v>
      </c>
      <c r="F433" s="159">
        <v>14810</v>
      </c>
      <c r="G433" s="159">
        <v>29621</v>
      </c>
      <c r="H433" s="159">
        <v>44431</v>
      </c>
    </row>
    <row r="434" spans="1:8" hidden="1" x14ac:dyDescent="0.25">
      <c r="A434" s="158">
        <v>1783</v>
      </c>
      <c r="B434" s="156" t="s">
        <v>727</v>
      </c>
      <c r="C434" s="156" t="s">
        <v>262</v>
      </c>
      <c r="D434" s="156" t="s">
        <v>21</v>
      </c>
      <c r="E434" s="156" t="s">
        <v>15</v>
      </c>
      <c r="F434" s="159">
        <v>15106</v>
      </c>
      <c r="G434" s="159">
        <v>30212</v>
      </c>
      <c r="H434" s="159">
        <v>45319</v>
      </c>
    </row>
    <row r="435" spans="1:8" hidden="1" x14ac:dyDescent="0.25">
      <c r="A435" s="158">
        <v>1784</v>
      </c>
      <c r="B435" s="156" t="s">
        <v>727</v>
      </c>
      <c r="C435" s="156" t="s">
        <v>262</v>
      </c>
      <c r="D435" s="156" t="s">
        <v>21</v>
      </c>
      <c r="E435" s="156" t="s">
        <v>16</v>
      </c>
      <c r="F435" s="159">
        <v>15408</v>
      </c>
      <c r="G435" s="159">
        <v>30817</v>
      </c>
      <c r="H435" s="159">
        <v>46225</v>
      </c>
    </row>
    <row r="436" spans="1:8" hidden="1" x14ac:dyDescent="0.25">
      <c r="A436" s="158">
        <v>1785</v>
      </c>
      <c r="B436" s="156" t="s">
        <v>727</v>
      </c>
      <c r="C436" s="156" t="s">
        <v>262</v>
      </c>
      <c r="D436" s="156" t="s">
        <v>21</v>
      </c>
      <c r="E436" s="156" t="s">
        <v>17</v>
      </c>
      <c r="F436" s="159">
        <v>15716</v>
      </c>
      <c r="G436" s="159">
        <v>31431</v>
      </c>
      <c r="H436" s="159">
        <v>47147</v>
      </c>
    </row>
    <row r="437" spans="1:8" hidden="1" x14ac:dyDescent="0.25">
      <c r="A437" s="158">
        <v>1786</v>
      </c>
      <c r="B437" s="156" t="s">
        <v>727</v>
      </c>
      <c r="C437" s="156" t="s">
        <v>262</v>
      </c>
      <c r="D437" s="156" t="s">
        <v>21</v>
      </c>
      <c r="E437" s="156" t="s">
        <v>18</v>
      </c>
      <c r="F437" s="159">
        <v>16031</v>
      </c>
      <c r="G437" s="159">
        <v>32062</v>
      </c>
      <c r="H437" s="159">
        <v>48093</v>
      </c>
    </row>
    <row r="438" spans="1:8" hidden="1" x14ac:dyDescent="0.25">
      <c r="A438" s="158">
        <v>1787</v>
      </c>
      <c r="B438" s="156" t="s">
        <v>727</v>
      </c>
      <c r="C438" s="156" t="s">
        <v>262</v>
      </c>
      <c r="D438" s="156" t="s">
        <v>21</v>
      </c>
      <c r="E438" s="156" t="s">
        <v>19</v>
      </c>
      <c r="F438" s="159">
        <v>16352</v>
      </c>
      <c r="G438" s="159">
        <v>32703</v>
      </c>
      <c r="H438" s="159">
        <v>49055</v>
      </c>
    </row>
    <row r="439" spans="1:8" hidden="1" x14ac:dyDescent="0.25">
      <c r="A439" s="158">
        <v>1788</v>
      </c>
      <c r="B439" s="156" t="s">
        <v>727</v>
      </c>
      <c r="C439" s="156" t="s">
        <v>262</v>
      </c>
      <c r="D439" s="156" t="s">
        <v>21</v>
      </c>
      <c r="E439" s="156" t="s">
        <v>20</v>
      </c>
      <c r="F439" s="159">
        <v>16679</v>
      </c>
      <c r="G439" s="159">
        <v>33356</v>
      </c>
      <c r="H439" s="159">
        <v>50036</v>
      </c>
    </row>
    <row r="440" spans="1:8" hidden="1" x14ac:dyDescent="0.25">
      <c r="A440" s="158">
        <v>1789</v>
      </c>
      <c r="B440" s="156" t="s">
        <v>727</v>
      </c>
      <c r="C440" s="156" t="s">
        <v>262</v>
      </c>
      <c r="D440" s="156" t="s">
        <v>203</v>
      </c>
      <c r="E440" s="156" t="s">
        <v>15</v>
      </c>
      <c r="F440" s="159">
        <v>17012</v>
      </c>
      <c r="G440" s="159">
        <v>34025</v>
      </c>
      <c r="H440" s="159">
        <v>51037</v>
      </c>
    </row>
    <row r="441" spans="1:8" hidden="1" x14ac:dyDescent="0.25">
      <c r="A441" s="158">
        <v>1790</v>
      </c>
      <c r="B441" s="156" t="s">
        <v>727</v>
      </c>
      <c r="C441" s="156" t="s">
        <v>262</v>
      </c>
      <c r="D441" s="156" t="s">
        <v>203</v>
      </c>
      <c r="E441" s="156" t="s">
        <v>16</v>
      </c>
      <c r="F441" s="159">
        <v>17352</v>
      </c>
      <c r="G441" s="159">
        <v>34705</v>
      </c>
      <c r="H441" s="159">
        <v>52057</v>
      </c>
    </row>
    <row r="442" spans="1:8" hidden="1" x14ac:dyDescent="0.25">
      <c r="A442" s="158">
        <v>1791</v>
      </c>
      <c r="B442" s="156" t="s">
        <v>727</v>
      </c>
      <c r="C442" s="156" t="s">
        <v>262</v>
      </c>
      <c r="D442" s="156" t="s">
        <v>203</v>
      </c>
      <c r="E442" s="156" t="s">
        <v>17</v>
      </c>
      <c r="F442" s="159">
        <v>17699</v>
      </c>
      <c r="G442" s="159">
        <v>35399</v>
      </c>
      <c r="H442" s="159">
        <v>53099</v>
      </c>
    </row>
    <row r="443" spans="1:8" hidden="1" x14ac:dyDescent="0.25">
      <c r="A443" s="158">
        <v>1792</v>
      </c>
      <c r="B443" s="156" t="s">
        <v>727</v>
      </c>
      <c r="C443" s="156" t="s">
        <v>262</v>
      </c>
      <c r="D443" s="156" t="s">
        <v>203</v>
      </c>
      <c r="E443" s="156" t="s">
        <v>18</v>
      </c>
      <c r="F443" s="159">
        <v>18052</v>
      </c>
      <c r="G443" s="159">
        <v>36105</v>
      </c>
      <c r="H443" s="159">
        <v>54158</v>
      </c>
    </row>
    <row r="444" spans="1:8" hidden="1" x14ac:dyDescent="0.25">
      <c r="A444" s="158">
        <v>1793</v>
      </c>
      <c r="B444" s="156" t="s">
        <v>727</v>
      </c>
      <c r="C444" s="156" t="s">
        <v>262</v>
      </c>
      <c r="D444" s="156" t="s">
        <v>203</v>
      </c>
      <c r="E444" s="156" t="s">
        <v>19</v>
      </c>
      <c r="F444" s="159">
        <v>18414</v>
      </c>
      <c r="G444" s="159">
        <v>36827</v>
      </c>
      <c r="H444" s="159">
        <v>55241</v>
      </c>
    </row>
    <row r="445" spans="1:8" hidden="1" x14ac:dyDescent="0.25">
      <c r="A445" s="158">
        <v>1794</v>
      </c>
      <c r="B445" s="156" t="s">
        <v>727</v>
      </c>
      <c r="C445" s="156" t="s">
        <v>262</v>
      </c>
      <c r="D445" s="156" t="s">
        <v>203</v>
      </c>
      <c r="E445" s="156" t="s">
        <v>20</v>
      </c>
      <c r="F445" s="159">
        <v>18781</v>
      </c>
      <c r="G445" s="159">
        <v>37565</v>
      </c>
      <c r="H445" s="159">
        <v>56345</v>
      </c>
    </row>
    <row r="446" spans="1:8" hidden="1" x14ac:dyDescent="0.25">
      <c r="A446" s="158">
        <v>1795</v>
      </c>
      <c r="B446" s="156" t="s">
        <v>727</v>
      </c>
      <c r="C446" s="156" t="s">
        <v>359</v>
      </c>
      <c r="D446" s="156" t="s">
        <v>14</v>
      </c>
      <c r="E446" s="156" t="s">
        <v>15</v>
      </c>
      <c r="F446" s="159">
        <v>13413</v>
      </c>
      <c r="G446" s="159">
        <v>26828</v>
      </c>
      <c r="H446" s="159">
        <v>40242</v>
      </c>
    </row>
    <row r="447" spans="1:8" hidden="1" x14ac:dyDescent="0.25">
      <c r="A447" s="158">
        <v>1796</v>
      </c>
      <c r="B447" s="156" t="s">
        <v>727</v>
      </c>
      <c r="C447" s="156" t="s">
        <v>359</v>
      </c>
      <c r="D447" s="156" t="s">
        <v>14</v>
      </c>
      <c r="E447" s="156" t="s">
        <v>16</v>
      </c>
      <c r="F447" s="159">
        <v>13682</v>
      </c>
      <c r="G447" s="159">
        <v>27363</v>
      </c>
      <c r="H447" s="159">
        <v>41046</v>
      </c>
    </row>
    <row r="448" spans="1:8" hidden="1" x14ac:dyDescent="0.25">
      <c r="A448" s="158">
        <v>1797</v>
      </c>
      <c r="B448" s="156" t="s">
        <v>727</v>
      </c>
      <c r="C448" s="156" t="s">
        <v>359</v>
      </c>
      <c r="D448" s="156" t="s">
        <v>14</v>
      </c>
      <c r="E448" s="156" t="s">
        <v>17</v>
      </c>
      <c r="F448" s="159">
        <v>13955</v>
      </c>
      <c r="G448" s="159">
        <v>27913</v>
      </c>
      <c r="H448" s="159">
        <v>41868</v>
      </c>
    </row>
    <row r="449" spans="1:8" hidden="1" x14ac:dyDescent="0.25">
      <c r="A449" s="158">
        <v>1798</v>
      </c>
      <c r="B449" s="156" t="s">
        <v>727</v>
      </c>
      <c r="C449" s="156" t="s">
        <v>359</v>
      </c>
      <c r="D449" s="156" t="s">
        <v>14</v>
      </c>
      <c r="E449" s="156" t="s">
        <v>18</v>
      </c>
      <c r="F449" s="159">
        <v>14236</v>
      </c>
      <c r="G449" s="159">
        <v>28470</v>
      </c>
      <c r="H449" s="159">
        <v>42706</v>
      </c>
    </row>
    <row r="450" spans="1:8" hidden="1" x14ac:dyDescent="0.25">
      <c r="A450" s="158">
        <v>1799</v>
      </c>
      <c r="B450" s="156" t="s">
        <v>727</v>
      </c>
      <c r="C450" s="156" t="s">
        <v>359</v>
      </c>
      <c r="D450" s="156" t="s">
        <v>14</v>
      </c>
      <c r="E450" s="156" t="s">
        <v>19</v>
      </c>
      <c r="F450" s="159">
        <v>14519</v>
      </c>
      <c r="G450" s="159">
        <v>29038</v>
      </c>
      <c r="H450" s="159">
        <v>43557</v>
      </c>
    </row>
    <row r="451" spans="1:8" hidden="1" x14ac:dyDescent="0.25">
      <c r="A451" s="158">
        <v>1800</v>
      </c>
      <c r="B451" s="156" t="s">
        <v>727</v>
      </c>
      <c r="C451" s="156" t="s">
        <v>359</v>
      </c>
      <c r="D451" s="156" t="s">
        <v>14</v>
      </c>
      <c r="E451" s="156" t="s">
        <v>20</v>
      </c>
      <c r="F451" s="159">
        <v>14810</v>
      </c>
      <c r="G451" s="159">
        <v>29621</v>
      </c>
      <c r="H451" s="159">
        <v>44431</v>
      </c>
    </row>
    <row r="452" spans="1:8" hidden="1" x14ac:dyDescent="0.25">
      <c r="A452" s="158">
        <v>1801</v>
      </c>
      <c r="B452" s="156" t="s">
        <v>727</v>
      </c>
      <c r="C452" s="156" t="s">
        <v>359</v>
      </c>
      <c r="D452" s="156" t="s">
        <v>21</v>
      </c>
      <c r="E452" s="156" t="s">
        <v>15</v>
      </c>
      <c r="F452" s="159">
        <v>15106</v>
      </c>
      <c r="G452" s="159">
        <v>30212</v>
      </c>
      <c r="H452" s="159">
        <v>45319</v>
      </c>
    </row>
    <row r="453" spans="1:8" hidden="1" x14ac:dyDescent="0.25">
      <c r="A453" s="158">
        <v>1802</v>
      </c>
      <c r="B453" s="156" t="s">
        <v>727</v>
      </c>
      <c r="C453" s="156" t="s">
        <v>359</v>
      </c>
      <c r="D453" s="156" t="s">
        <v>21</v>
      </c>
      <c r="E453" s="156" t="s">
        <v>16</v>
      </c>
      <c r="F453" s="159">
        <v>15408</v>
      </c>
      <c r="G453" s="159">
        <v>30817</v>
      </c>
      <c r="H453" s="159">
        <v>46225</v>
      </c>
    </row>
    <row r="454" spans="1:8" hidden="1" x14ac:dyDescent="0.25">
      <c r="A454" s="158">
        <v>1803</v>
      </c>
      <c r="B454" s="156" t="s">
        <v>727</v>
      </c>
      <c r="C454" s="156" t="s">
        <v>359</v>
      </c>
      <c r="D454" s="156" t="s">
        <v>21</v>
      </c>
      <c r="E454" s="156" t="s">
        <v>17</v>
      </c>
      <c r="F454" s="159">
        <v>15716</v>
      </c>
      <c r="G454" s="159">
        <v>31431</v>
      </c>
      <c r="H454" s="159">
        <v>47147</v>
      </c>
    </row>
    <row r="455" spans="1:8" hidden="1" x14ac:dyDescent="0.25">
      <c r="A455" s="158">
        <v>1804</v>
      </c>
      <c r="B455" s="156" t="s">
        <v>727</v>
      </c>
      <c r="C455" s="156" t="s">
        <v>359</v>
      </c>
      <c r="D455" s="156" t="s">
        <v>21</v>
      </c>
      <c r="E455" s="156" t="s">
        <v>18</v>
      </c>
      <c r="F455" s="159">
        <v>16031</v>
      </c>
      <c r="G455" s="159">
        <v>32062</v>
      </c>
      <c r="H455" s="159">
        <v>48093</v>
      </c>
    </row>
    <row r="456" spans="1:8" hidden="1" x14ac:dyDescent="0.25">
      <c r="A456" s="158">
        <v>1805</v>
      </c>
      <c r="B456" s="156" t="s">
        <v>727</v>
      </c>
      <c r="C456" s="156" t="s">
        <v>359</v>
      </c>
      <c r="D456" s="156" t="s">
        <v>21</v>
      </c>
      <c r="E456" s="156" t="s">
        <v>19</v>
      </c>
      <c r="F456" s="159">
        <v>16352</v>
      </c>
      <c r="G456" s="159">
        <v>32703</v>
      </c>
      <c r="H456" s="159">
        <v>49055</v>
      </c>
    </row>
    <row r="457" spans="1:8" hidden="1" x14ac:dyDescent="0.25">
      <c r="A457" s="158">
        <v>1806</v>
      </c>
      <c r="B457" s="156" t="s">
        <v>727</v>
      </c>
      <c r="C457" s="156" t="s">
        <v>359</v>
      </c>
      <c r="D457" s="156" t="s">
        <v>21</v>
      </c>
      <c r="E457" s="156" t="s">
        <v>20</v>
      </c>
      <c r="F457" s="159">
        <v>16679</v>
      </c>
      <c r="G457" s="159">
        <v>33356</v>
      </c>
      <c r="H457" s="159">
        <v>50036</v>
      </c>
    </row>
    <row r="458" spans="1:8" hidden="1" x14ac:dyDescent="0.25">
      <c r="A458" s="158">
        <v>1807</v>
      </c>
      <c r="B458" s="156" t="s">
        <v>727</v>
      </c>
      <c r="C458" s="156" t="s">
        <v>359</v>
      </c>
      <c r="D458" s="156" t="s">
        <v>203</v>
      </c>
      <c r="E458" s="156" t="s">
        <v>15</v>
      </c>
      <c r="F458" s="159">
        <v>17012</v>
      </c>
      <c r="G458" s="159">
        <v>34025</v>
      </c>
      <c r="H458" s="159">
        <v>51037</v>
      </c>
    </row>
    <row r="459" spans="1:8" hidden="1" x14ac:dyDescent="0.25">
      <c r="A459" s="158">
        <v>1808</v>
      </c>
      <c r="B459" s="156" t="s">
        <v>727</v>
      </c>
      <c r="C459" s="156" t="s">
        <v>359</v>
      </c>
      <c r="D459" s="156" t="s">
        <v>203</v>
      </c>
      <c r="E459" s="156" t="s">
        <v>16</v>
      </c>
      <c r="F459" s="159">
        <v>17352</v>
      </c>
      <c r="G459" s="159">
        <v>34705</v>
      </c>
      <c r="H459" s="159">
        <v>52057</v>
      </c>
    </row>
    <row r="460" spans="1:8" hidden="1" x14ac:dyDescent="0.25">
      <c r="A460" s="158">
        <v>1809</v>
      </c>
      <c r="B460" s="156" t="s">
        <v>727</v>
      </c>
      <c r="C460" s="156" t="s">
        <v>359</v>
      </c>
      <c r="D460" s="156" t="s">
        <v>203</v>
      </c>
      <c r="E460" s="156" t="s">
        <v>17</v>
      </c>
      <c r="F460" s="159">
        <v>17699</v>
      </c>
      <c r="G460" s="159">
        <v>35399</v>
      </c>
      <c r="H460" s="159">
        <v>53099</v>
      </c>
    </row>
    <row r="461" spans="1:8" hidden="1" x14ac:dyDescent="0.25">
      <c r="A461" s="158">
        <v>1810</v>
      </c>
      <c r="B461" s="156" t="s">
        <v>727</v>
      </c>
      <c r="C461" s="156" t="s">
        <v>359</v>
      </c>
      <c r="D461" s="156" t="s">
        <v>203</v>
      </c>
      <c r="E461" s="156" t="s">
        <v>18</v>
      </c>
      <c r="F461" s="159">
        <v>18052</v>
      </c>
      <c r="G461" s="159">
        <v>36105</v>
      </c>
      <c r="H461" s="159">
        <v>54158</v>
      </c>
    </row>
    <row r="462" spans="1:8" hidden="1" x14ac:dyDescent="0.25">
      <c r="A462" s="158">
        <v>1811</v>
      </c>
      <c r="B462" s="156" t="s">
        <v>727</v>
      </c>
      <c r="C462" s="156" t="s">
        <v>359</v>
      </c>
      <c r="D462" s="156" t="s">
        <v>203</v>
      </c>
      <c r="E462" s="156" t="s">
        <v>19</v>
      </c>
      <c r="F462" s="159">
        <v>18414</v>
      </c>
      <c r="G462" s="159">
        <v>36827</v>
      </c>
      <c r="H462" s="159">
        <v>55241</v>
      </c>
    </row>
    <row r="463" spans="1:8" hidden="1" x14ac:dyDescent="0.25">
      <c r="A463" s="158">
        <v>1812</v>
      </c>
      <c r="B463" s="156" t="s">
        <v>727</v>
      </c>
      <c r="C463" s="156" t="s">
        <v>359</v>
      </c>
      <c r="D463" s="156" t="s">
        <v>203</v>
      </c>
      <c r="E463" s="156" t="s">
        <v>20</v>
      </c>
      <c r="F463" s="159">
        <v>18781</v>
      </c>
      <c r="G463" s="159">
        <v>37565</v>
      </c>
      <c r="H463" s="159">
        <v>56345</v>
      </c>
    </row>
    <row r="464" spans="1:8" hidden="1" x14ac:dyDescent="0.25">
      <c r="A464" s="158">
        <v>1813</v>
      </c>
      <c r="B464" s="156" t="s">
        <v>727</v>
      </c>
      <c r="C464" s="156" t="s">
        <v>360</v>
      </c>
      <c r="D464" s="156" t="s">
        <v>14</v>
      </c>
      <c r="E464" s="156" t="s">
        <v>15</v>
      </c>
      <c r="F464" s="159">
        <v>13413</v>
      </c>
      <c r="G464" s="159">
        <v>26828</v>
      </c>
      <c r="H464" s="159">
        <v>40242</v>
      </c>
    </row>
    <row r="465" spans="1:8" hidden="1" x14ac:dyDescent="0.25">
      <c r="A465" s="158">
        <v>1814</v>
      </c>
      <c r="B465" s="156" t="s">
        <v>727</v>
      </c>
      <c r="C465" s="156" t="s">
        <v>360</v>
      </c>
      <c r="D465" s="156" t="s">
        <v>14</v>
      </c>
      <c r="E465" s="156" t="s">
        <v>16</v>
      </c>
      <c r="F465" s="159">
        <v>13682</v>
      </c>
      <c r="G465" s="159">
        <v>27363</v>
      </c>
      <c r="H465" s="159">
        <v>41046</v>
      </c>
    </row>
    <row r="466" spans="1:8" hidden="1" x14ac:dyDescent="0.25">
      <c r="A466" s="158">
        <v>1815</v>
      </c>
      <c r="B466" s="156" t="s">
        <v>727</v>
      </c>
      <c r="C466" s="156" t="s">
        <v>360</v>
      </c>
      <c r="D466" s="156" t="s">
        <v>14</v>
      </c>
      <c r="E466" s="156" t="s">
        <v>17</v>
      </c>
      <c r="F466" s="159">
        <v>13955</v>
      </c>
      <c r="G466" s="159">
        <v>27913</v>
      </c>
      <c r="H466" s="159">
        <v>41868</v>
      </c>
    </row>
    <row r="467" spans="1:8" hidden="1" x14ac:dyDescent="0.25">
      <c r="A467" s="158">
        <v>1816</v>
      </c>
      <c r="B467" s="156" t="s">
        <v>727</v>
      </c>
      <c r="C467" s="156" t="s">
        <v>360</v>
      </c>
      <c r="D467" s="156" t="s">
        <v>14</v>
      </c>
      <c r="E467" s="156" t="s">
        <v>18</v>
      </c>
      <c r="F467" s="159">
        <v>14236</v>
      </c>
      <c r="G467" s="159">
        <v>28470</v>
      </c>
      <c r="H467" s="159">
        <v>42706</v>
      </c>
    </row>
    <row r="468" spans="1:8" hidden="1" x14ac:dyDescent="0.25">
      <c r="A468" s="158">
        <v>1817</v>
      </c>
      <c r="B468" s="156" t="s">
        <v>727</v>
      </c>
      <c r="C468" s="156" t="s">
        <v>360</v>
      </c>
      <c r="D468" s="156" t="s">
        <v>14</v>
      </c>
      <c r="E468" s="156" t="s">
        <v>19</v>
      </c>
      <c r="F468" s="159">
        <v>14519</v>
      </c>
      <c r="G468" s="159">
        <v>29038</v>
      </c>
      <c r="H468" s="159">
        <v>43557</v>
      </c>
    </row>
    <row r="469" spans="1:8" hidden="1" x14ac:dyDescent="0.25">
      <c r="A469" s="158">
        <v>1818</v>
      </c>
      <c r="B469" s="156" t="s">
        <v>727</v>
      </c>
      <c r="C469" s="156" t="s">
        <v>360</v>
      </c>
      <c r="D469" s="156" t="s">
        <v>14</v>
      </c>
      <c r="E469" s="156" t="s">
        <v>20</v>
      </c>
      <c r="F469" s="159">
        <v>14810</v>
      </c>
      <c r="G469" s="159">
        <v>29621</v>
      </c>
      <c r="H469" s="159">
        <v>44431</v>
      </c>
    </row>
    <row r="470" spans="1:8" hidden="1" x14ac:dyDescent="0.25">
      <c r="A470" s="158">
        <v>1819</v>
      </c>
      <c r="B470" s="156" t="s">
        <v>727</v>
      </c>
      <c r="C470" s="156" t="s">
        <v>360</v>
      </c>
      <c r="D470" s="156" t="s">
        <v>21</v>
      </c>
      <c r="E470" s="156" t="s">
        <v>15</v>
      </c>
      <c r="F470" s="159">
        <v>15106</v>
      </c>
      <c r="G470" s="159">
        <v>30212</v>
      </c>
      <c r="H470" s="159">
        <v>45319</v>
      </c>
    </row>
    <row r="471" spans="1:8" hidden="1" x14ac:dyDescent="0.25">
      <c r="A471" s="158">
        <v>1820</v>
      </c>
      <c r="B471" s="156" t="s">
        <v>727</v>
      </c>
      <c r="C471" s="156" t="s">
        <v>360</v>
      </c>
      <c r="D471" s="156" t="s">
        <v>21</v>
      </c>
      <c r="E471" s="156" t="s">
        <v>16</v>
      </c>
      <c r="F471" s="159">
        <v>15408</v>
      </c>
      <c r="G471" s="159">
        <v>30817</v>
      </c>
      <c r="H471" s="159">
        <v>46225</v>
      </c>
    </row>
    <row r="472" spans="1:8" hidden="1" x14ac:dyDescent="0.25">
      <c r="A472" s="158">
        <v>1821</v>
      </c>
      <c r="B472" s="156" t="s">
        <v>727</v>
      </c>
      <c r="C472" s="156" t="s">
        <v>360</v>
      </c>
      <c r="D472" s="156" t="s">
        <v>21</v>
      </c>
      <c r="E472" s="156" t="s">
        <v>17</v>
      </c>
      <c r="F472" s="159">
        <v>15716</v>
      </c>
      <c r="G472" s="159">
        <v>31431</v>
      </c>
      <c r="H472" s="159">
        <v>47147</v>
      </c>
    </row>
    <row r="473" spans="1:8" hidden="1" x14ac:dyDescent="0.25">
      <c r="A473" s="158">
        <v>1822</v>
      </c>
      <c r="B473" s="156" t="s">
        <v>727</v>
      </c>
      <c r="C473" s="156" t="s">
        <v>360</v>
      </c>
      <c r="D473" s="156" t="s">
        <v>21</v>
      </c>
      <c r="E473" s="156" t="s">
        <v>18</v>
      </c>
      <c r="F473" s="159">
        <v>16031</v>
      </c>
      <c r="G473" s="159">
        <v>32062</v>
      </c>
      <c r="H473" s="159">
        <v>48093</v>
      </c>
    </row>
    <row r="474" spans="1:8" hidden="1" x14ac:dyDescent="0.25">
      <c r="A474" s="158">
        <v>1823</v>
      </c>
      <c r="B474" s="156" t="s">
        <v>727</v>
      </c>
      <c r="C474" s="156" t="s">
        <v>360</v>
      </c>
      <c r="D474" s="156" t="s">
        <v>21</v>
      </c>
      <c r="E474" s="156" t="s">
        <v>19</v>
      </c>
      <c r="F474" s="159">
        <v>16352</v>
      </c>
      <c r="G474" s="159">
        <v>32703</v>
      </c>
      <c r="H474" s="159">
        <v>49055</v>
      </c>
    </row>
    <row r="475" spans="1:8" hidden="1" x14ac:dyDescent="0.25">
      <c r="A475" s="158">
        <v>1824</v>
      </c>
      <c r="B475" s="156" t="s">
        <v>727</v>
      </c>
      <c r="C475" s="156" t="s">
        <v>360</v>
      </c>
      <c r="D475" s="156" t="s">
        <v>21</v>
      </c>
      <c r="E475" s="156" t="s">
        <v>20</v>
      </c>
      <c r="F475" s="159">
        <v>16679</v>
      </c>
      <c r="G475" s="159">
        <v>33356</v>
      </c>
      <c r="H475" s="159">
        <v>50036</v>
      </c>
    </row>
    <row r="476" spans="1:8" hidden="1" x14ac:dyDescent="0.25">
      <c r="A476" s="158">
        <v>1825</v>
      </c>
      <c r="B476" s="156" t="s">
        <v>727</v>
      </c>
      <c r="C476" s="156" t="s">
        <v>360</v>
      </c>
      <c r="D476" s="156" t="s">
        <v>203</v>
      </c>
      <c r="E476" s="156" t="s">
        <v>15</v>
      </c>
      <c r="F476" s="159">
        <v>17012</v>
      </c>
      <c r="G476" s="159">
        <v>34025</v>
      </c>
      <c r="H476" s="159">
        <v>51037</v>
      </c>
    </row>
    <row r="477" spans="1:8" hidden="1" x14ac:dyDescent="0.25">
      <c r="A477" s="158">
        <v>1826</v>
      </c>
      <c r="B477" s="156" t="s">
        <v>727</v>
      </c>
      <c r="C477" s="156" t="s">
        <v>360</v>
      </c>
      <c r="D477" s="156" t="s">
        <v>203</v>
      </c>
      <c r="E477" s="156" t="s">
        <v>16</v>
      </c>
      <c r="F477" s="159">
        <v>17352</v>
      </c>
      <c r="G477" s="159">
        <v>34705</v>
      </c>
      <c r="H477" s="159">
        <v>52057</v>
      </c>
    </row>
    <row r="478" spans="1:8" hidden="1" x14ac:dyDescent="0.25">
      <c r="A478" s="158">
        <v>1827</v>
      </c>
      <c r="B478" s="156" t="s">
        <v>727</v>
      </c>
      <c r="C478" s="156" t="s">
        <v>360</v>
      </c>
      <c r="D478" s="156" t="s">
        <v>203</v>
      </c>
      <c r="E478" s="156" t="s">
        <v>17</v>
      </c>
      <c r="F478" s="159">
        <v>17699</v>
      </c>
      <c r="G478" s="159">
        <v>35399</v>
      </c>
      <c r="H478" s="159">
        <v>53099</v>
      </c>
    </row>
    <row r="479" spans="1:8" hidden="1" x14ac:dyDescent="0.25">
      <c r="A479" s="158">
        <v>1828</v>
      </c>
      <c r="B479" s="156" t="s">
        <v>727</v>
      </c>
      <c r="C479" s="156" t="s">
        <v>360</v>
      </c>
      <c r="D479" s="156" t="s">
        <v>203</v>
      </c>
      <c r="E479" s="156" t="s">
        <v>18</v>
      </c>
      <c r="F479" s="159">
        <v>18052</v>
      </c>
      <c r="G479" s="159">
        <v>36105</v>
      </c>
      <c r="H479" s="159">
        <v>54158</v>
      </c>
    </row>
    <row r="480" spans="1:8" hidden="1" x14ac:dyDescent="0.25">
      <c r="A480" s="158">
        <v>1829</v>
      </c>
      <c r="B480" s="156" t="s">
        <v>727</v>
      </c>
      <c r="C480" s="156" t="s">
        <v>360</v>
      </c>
      <c r="D480" s="156" t="s">
        <v>203</v>
      </c>
      <c r="E480" s="156" t="s">
        <v>19</v>
      </c>
      <c r="F480" s="159">
        <v>18414</v>
      </c>
      <c r="G480" s="159">
        <v>36827</v>
      </c>
      <c r="H480" s="159">
        <v>55241</v>
      </c>
    </row>
    <row r="481" spans="1:8" hidden="1" x14ac:dyDescent="0.25">
      <c r="A481" s="158">
        <v>1830</v>
      </c>
      <c r="B481" s="156" t="s">
        <v>727</v>
      </c>
      <c r="C481" s="156" t="s">
        <v>360</v>
      </c>
      <c r="D481" s="156" t="s">
        <v>203</v>
      </c>
      <c r="E481" s="156" t="s">
        <v>20</v>
      </c>
      <c r="F481" s="159">
        <v>18781</v>
      </c>
      <c r="G481" s="159">
        <v>37565</v>
      </c>
      <c r="H481" s="159">
        <v>56345</v>
      </c>
    </row>
    <row r="482" spans="1:8" hidden="1" x14ac:dyDescent="0.25">
      <c r="A482" s="158">
        <v>1471</v>
      </c>
      <c r="B482" s="156" t="s">
        <v>740</v>
      </c>
      <c r="C482" s="156" t="s">
        <v>182</v>
      </c>
      <c r="D482" s="156" t="s">
        <v>14</v>
      </c>
      <c r="E482" s="156" t="s">
        <v>15</v>
      </c>
      <c r="F482" s="159">
        <v>34611</v>
      </c>
      <c r="G482" s="159">
        <v>69221</v>
      </c>
      <c r="H482" s="156" t="s">
        <v>741</v>
      </c>
    </row>
    <row r="483" spans="1:8" hidden="1" x14ac:dyDescent="0.25">
      <c r="A483" s="158">
        <v>1472</v>
      </c>
      <c r="B483" s="156" t="s">
        <v>740</v>
      </c>
      <c r="C483" s="156" t="s">
        <v>182</v>
      </c>
      <c r="D483" s="156" t="s">
        <v>14</v>
      </c>
      <c r="E483" s="156" t="s">
        <v>16</v>
      </c>
      <c r="F483" s="159">
        <v>35304</v>
      </c>
      <c r="G483" s="159">
        <v>70605</v>
      </c>
      <c r="H483" s="156" t="s">
        <v>742</v>
      </c>
    </row>
    <row r="484" spans="1:8" hidden="1" x14ac:dyDescent="0.25">
      <c r="A484" s="158">
        <v>1473</v>
      </c>
      <c r="B484" s="156" t="s">
        <v>740</v>
      </c>
      <c r="C484" s="156" t="s">
        <v>182</v>
      </c>
      <c r="D484" s="156" t="s">
        <v>14</v>
      </c>
      <c r="E484" s="156" t="s">
        <v>17</v>
      </c>
      <c r="F484" s="159">
        <v>36009</v>
      </c>
      <c r="G484" s="159">
        <v>72018</v>
      </c>
      <c r="H484" s="156" t="s">
        <v>743</v>
      </c>
    </row>
    <row r="485" spans="1:8" hidden="1" x14ac:dyDescent="0.25">
      <c r="A485" s="158">
        <v>1474</v>
      </c>
      <c r="B485" s="156" t="s">
        <v>740</v>
      </c>
      <c r="C485" s="156" t="s">
        <v>182</v>
      </c>
      <c r="D485" s="156" t="s">
        <v>14</v>
      </c>
      <c r="E485" s="156" t="s">
        <v>18</v>
      </c>
      <c r="F485" s="159">
        <v>36729</v>
      </c>
      <c r="G485" s="159">
        <v>73458</v>
      </c>
      <c r="H485" s="156" t="s">
        <v>744</v>
      </c>
    </row>
    <row r="486" spans="1:8" hidden="1" x14ac:dyDescent="0.25">
      <c r="A486" s="158">
        <v>1475</v>
      </c>
      <c r="B486" s="156" t="s">
        <v>740</v>
      </c>
      <c r="C486" s="156" t="s">
        <v>182</v>
      </c>
      <c r="D486" s="156" t="s">
        <v>14</v>
      </c>
      <c r="E486" s="156" t="s">
        <v>19</v>
      </c>
      <c r="F486" s="159">
        <v>37464</v>
      </c>
      <c r="G486" s="159">
        <v>74928</v>
      </c>
      <c r="H486" s="156" t="s">
        <v>745</v>
      </c>
    </row>
    <row r="487" spans="1:8" hidden="1" x14ac:dyDescent="0.25">
      <c r="A487" s="158">
        <v>1476</v>
      </c>
      <c r="B487" s="156" t="s">
        <v>740</v>
      </c>
      <c r="C487" s="156" t="s">
        <v>182</v>
      </c>
      <c r="D487" s="156" t="s">
        <v>14</v>
      </c>
      <c r="E487" s="156" t="s">
        <v>20</v>
      </c>
      <c r="F487" s="159">
        <v>38212</v>
      </c>
      <c r="G487" s="159">
        <v>76426</v>
      </c>
      <c r="H487" s="156" t="s">
        <v>746</v>
      </c>
    </row>
    <row r="488" spans="1:8" hidden="1" x14ac:dyDescent="0.25">
      <c r="A488" s="158">
        <v>1477</v>
      </c>
      <c r="B488" s="156" t="s">
        <v>740</v>
      </c>
      <c r="C488" s="156" t="s">
        <v>182</v>
      </c>
      <c r="D488" s="156" t="s">
        <v>21</v>
      </c>
      <c r="E488" s="156" t="s">
        <v>15</v>
      </c>
      <c r="F488" s="159">
        <v>38977</v>
      </c>
      <c r="G488" s="159">
        <v>77955</v>
      </c>
      <c r="H488" s="156" t="s">
        <v>747</v>
      </c>
    </row>
    <row r="489" spans="1:8" hidden="1" x14ac:dyDescent="0.25">
      <c r="A489" s="158">
        <v>1478</v>
      </c>
      <c r="B489" s="156" t="s">
        <v>740</v>
      </c>
      <c r="C489" s="156" t="s">
        <v>182</v>
      </c>
      <c r="D489" s="156" t="s">
        <v>21</v>
      </c>
      <c r="E489" s="156" t="s">
        <v>16</v>
      </c>
      <c r="F489" s="159">
        <v>39757</v>
      </c>
      <c r="G489" s="159">
        <v>79514</v>
      </c>
      <c r="H489" s="156" t="s">
        <v>748</v>
      </c>
    </row>
    <row r="490" spans="1:8" hidden="1" x14ac:dyDescent="0.25">
      <c r="A490" s="158">
        <v>1479</v>
      </c>
      <c r="B490" s="156" t="s">
        <v>740</v>
      </c>
      <c r="C490" s="156" t="s">
        <v>182</v>
      </c>
      <c r="D490" s="156" t="s">
        <v>21</v>
      </c>
      <c r="E490" s="156" t="s">
        <v>17</v>
      </c>
      <c r="F490" s="159">
        <v>40551</v>
      </c>
      <c r="G490" s="159">
        <v>81105</v>
      </c>
      <c r="H490" s="156" t="s">
        <v>749</v>
      </c>
    </row>
    <row r="491" spans="1:8" hidden="1" x14ac:dyDescent="0.25">
      <c r="A491" s="158">
        <v>1480</v>
      </c>
      <c r="B491" s="156" t="s">
        <v>740</v>
      </c>
      <c r="C491" s="156" t="s">
        <v>182</v>
      </c>
      <c r="D491" s="156" t="s">
        <v>21</v>
      </c>
      <c r="E491" s="156" t="s">
        <v>18</v>
      </c>
      <c r="F491" s="159">
        <v>41364</v>
      </c>
      <c r="G491" s="159">
        <v>82726</v>
      </c>
      <c r="H491" s="156" t="s">
        <v>750</v>
      </c>
    </row>
    <row r="492" spans="1:8" hidden="1" x14ac:dyDescent="0.25">
      <c r="A492" s="158">
        <v>1481</v>
      </c>
      <c r="B492" s="156" t="s">
        <v>740</v>
      </c>
      <c r="C492" s="156" t="s">
        <v>182</v>
      </c>
      <c r="D492" s="156" t="s">
        <v>21</v>
      </c>
      <c r="E492" s="156" t="s">
        <v>19</v>
      </c>
      <c r="F492" s="159">
        <v>42191</v>
      </c>
      <c r="G492" s="159">
        <v>84380</v>
      </c>
      <c r="H492" s="156" t="s">
        <v>751</v>
      </c>
    </row>
    <row r="493" spans="1:8" hidden="1" x14ac:dyDescent="0.25">
      <c r="A493" s="158">
        <v>1482</v>
      </c>
      <c r="B493" s="156" t="s">
        <v>740</v>
      </c>
      <c r="C493" s="156" t="s">
        <v>182</v>
      </c>
      <c r="D493" s="156" t="s">
        <v>21</v>
      </c>
      <c r="E493" s="156" t="s">
        <v>20</v>
      </c>
      <c r="F493" s="159">
        <v>43034</v>
      </c>
      <c r="G493" s="159">
        <v>86068</v>
      </c>
      <c r="H493" s="156" t="s">
        <v>752</v>
      </c>
    </row>
    <row r="494" spans="1:8" hidden="1" x14ac:dyDescent="0.25">
      <c r="A494" s="158">
        <v>1483</v>
      </c>
      <c r="B494" s="156" t="s">
        <v>740</v>
      </c>
      <c r="C494" s="156" t="s">
        <v>182</v>
      </c>
      <c r="D494" s="156" t="s">
        <v>203</v>
      </c>
      <c r="E494" s="156" t="s">
        <v>15</v>
      </c>
      <c r="F494" s="159">
        <v>43894</v>
      </c>
      <c r="G494" s="159">
        <v>87789</v>
      </c>
      <c r="H494" s="156" t="s">
        <v>753</v>
      </c>
    </row>
    <row r="495" spans="1:8" hidden="1" x14ac:dyDescent="0.25">
      <c r="A495" s="158">
        <v>1484</v>
      </c>
      <c r="B495" s="156" t="s">
        <v>740</v>
      </c>
      <c r="C495" s="156" t="s">
        <v>182</v>
      </c>
      <c r="D495" s="156" t="s">
        <v>203</v>
      </c>
      <c r="E495" s="156" t="s">
        <v>16</v>
      </c>
      <c r="F495" s="159">
        <v>44772</v>
      </c>
      <c r="G495" s="159">
        <v>89545</v>
      </c>
      <c r="H495" s="156" t="s">
        <v>754</v>
      </c>
    </row>
    <row r="496" spans="1:8" hidden="1" x14ac:dyDescent="0.25">
      <c r="A496" s="158">
        <v>1485</v>
      </c>
      <c r="B496" s="156" t="s">
        <v>740</v>
      </c>
      <c r="C496" s="156" t="s">
        <v>182</v>
      </c>
      <c r="D496" s="156" t="s">
        <v>203</v>
      </c>
      <c r="E496" s="156" t="s">
        <v>17</v>
      </c>
      <c r="F496" s="159">
        <v>45668</v>
      </c>
      <c r="G496" s="159">
        <v>91335</v>
      </c>
      <c r="H496" s="156" t="s">
        <v>755</v>
      </c>
    </row>
    <row r="497" spans="1:8" hidden="1" x14ac:dyDescent="0.25">
      <c r="A497" s="158">
        <v>1486</v>
      </c>
      <c r="B497" s="156" t="s">
        <v>740</v>
      </c>
      <c r="C497" s="156" t="s">
        <v>182</v>
      </c>
      <c r="D497" s="156" t="s">
        <v>203</v>
      </c>
      <c r="E497" s="156" t="s">
        <v>18</v>
      </c>
      <c r="F497" s="159">
        <v>46581</v>
      </c>
      <c r="G497" s="159">
        <v>93163</v>
      </c>
      <c r="H497" s="156" t="s">
        <v>756</v>
      </c>
    </row>
    <row r="498" spans="1:8" hidden="1" x14ac:dyDescent="0.25">
      <c r="A498" s="158">
        <v>1487</v>
      </c>
      <c r="B498" s="156" t="s">
        <v>740</v>
      </c>
      <c r="C498" s="156" t="s">
        <v>182</v>
      </c>
      <c r="D498" s="156" t="s">
        <v>203</v>
      </c>
      <c r="E498" s="156" t="s">
        <v>19</v>
      </c>
      <c r="F498" s="159">
        <v>47512</v>
      </c>
      <c r="G498" s="159">
        <v>95026</v>
      </c>
      <c r="H498" s="156" t="s">
        <v>757</v>
      </c>
    </row>
    <row r="499" spans="1:8" hidden="1" x14ac:dyDescent="0.25">
      <c r="A499" s="158">
        <v>1488</v>
      </c>
      <c r="B499" s="156" t="s">
        <v>740</v>
      </c>
      <c r="C499" s="156" t="s">
        <v>182</v>
      </c>
      <c r="D499" s="156" t="s">
        <v>203</v>
      </c>
      <c r="E499" s="156" t="s">
        <v>20</v>
      </c>
      <c r="F499" s="159">
        <v>48463</v>
      </c>
      <c r="G499" s="159">
        <v>96926</v>
      </c>
      <c r="H499" s="156" t="s">
        <v>758</v>
      </c>
    </row>
    <row r="500" spans="1:8" hidden="1" x14ac:dyDescent="0.25">
      <c r="A500" s="158">
        <v>1489</v>
      </c>
      <c r="B500" s="156" t="s">
        <v>740</v>
      </c>
      <c r="C500" s="156" t="s">
        <v>287</v>
      </c>
      <c r="D500" s="156" t="s">
        <v>14</v>
      </c>
      <c r="E500" s="156" t="s">
        <v>15</v>
      </c>
      <c r="F500" s="159">
        <v>34611</v>
      </c>
      <c r="G500" s="159">
        <v>69221</v>
      </c>
      <c r="H500" s="156" t="s">
        <v>741</v>
      </c>
    </row>
    <row r="501" spans="1:8" hidden="1" x14ac:dyDescent="0.25">
      <c r="A501" s="158">
        <v>1490</v>
      </c>
      <c r="B501" s="156" t="s">
        <v>740</v>
      </c>
      <c r="C501" s="156" t="s">
        <v>287</v>
      </c>
      <c r="D501" s="156" t="s">
        <v>14</v>
      </c>
      <c r="E501" s="156" t="s">
        <v>16</v>
      </c>
      <c r="F501" s="159">
        <v>35304</v>
      </c>
      <c r="G501" s="159">
        <v>70605</v>
      </c>
      <c r="H501" s="156" t="s">
        <v>742</v>
      </c>
    </row>
    <row r="502" spans="1:8" hidden="1" x14ac:dyDescent="0.25">
      <c r="A502" s="158">
        <v>1491</v>
      </c>
      <c r="B502" s="156" t="s">
        <v>740</v>
      </c>
      <c r="C502" s="156" t="s">
        <v>287</v>
      </c>
      <c r="D502" s="156" t="s">
        <v>14</v>
      </c>
      <c r="E502" s="156" t="s">
        <v>17</v>
      </c>
      <c r="F502" s="159">
        <v>36009</v>
      </c>
      <c r="G502" s="159">
        <v>72018</v>
      </c>
      <c r="H502" s="156" t="s">
        <v>743</v>
      </c>
    </row>
    <row r="503" spans="1:8" hidden="1" x14ac:dyDescent="0.25">
      <c r="A503" s="158">
        <v>1492</v>
      </c>
      <c r="B503" s="156" t="s">
        <v>740</v>
      </c>
      <c r="C503" s="156" t="s">
        <v>287</v>
      </c>
      <c r="D503" s="156" t="s">
        <v>14</v>
      </c>
      <c r="E503" s="156" t="s">
        <v>18</v>
      </c>
      <c r="F503" s="159">
        <v>36729</v>
      </c>
      <c r="G503" s="159">
        <v>73458</v>
      </c>
      <c r="H503" s="156" t="s">
        <v>744</v>
      </c>
    </row>
    <row r="504" spans="1:8" hidden="1" x14ac:dyDescent="0.25">
      <c r="A504" s="158">
        <v>1493</v>
      </c>
      <c r="B504" s="156" t="s">
        <v>740</v>
      </c>
      <c r="C504" s="156" t="s">
        <v>287</v>
      </c>
      <c r="D504" s="156" t="s">
        <v>14</v>
      </c>
      <c r="E504" s="156" t="s">
        <v>19</v>
      </c>
      <c r="F504" s="159">
        <v>37464</v>
      </c>
      <c r="G504" s="159">
        <v>74928</v>
      </c>
      <c r="H504" s="156" t="s">
        <v>745</v>
      </c>
    </row>
    <row r="505" spans="1:8" hidden="1" x14ac:dyDescent="0.25">
      <c r="A505" s="158">
        <v>1494</v>
      </c>
      <c r="B505" s="156" t="s">
        <v>740</v>
      </c>
      <c r="C505" s="156" t="s">
        <v>287</v>
      </c>
      <c r="D505" s="156" t="s">
        <v>14</v>
      </c>
      <c r="E505" s="156" t="s">
        <v>20</v>
      </c>
      <c r="F505" s="159">
        <v>38212</v>
      </c>
      <c r="G505" s="159">
        <v>76426</v>
      </c>
      <c r="H505" s="156" t="s">
        <v>746</v>
      </c>
    </row>
    <row r="506" spans="1:8" hidden="1" x14ac:dyDescent="0.25">
      <c r="A506" s="158">
        <v>1495</v>
      </c>
      <c r="B506" s="156" t="s">
        <v>740</v>
      </c>
      <c r="C506" s="156" t="s">
        <v>287</v>
      </c>
      <c r="D506" s="156" t="s">
        <v>21</v>
      </c>
      <c r="E506" s="156" t="s">
        <v>15</v>
      </c>
      <c r="F506" s="159">
        <v>38977</v>
      </c>
      <c r="G506" s="159">
        <v>77955</v>
      </c>
      <c r="H506" s="156" t="s">
        <v>747</v>
      </c>
    </row>
    <row r="507" spans="1:8" hidden="1" x14ac:dyDescent="0.25">
      <c r="A507" s="158">
        <v>1496</v>
      </c>
      <c r="B507" s="156" t="s">
        <v>740</v>
      </c>
      <c r="C507" s="156" t="s">
        <v>287</v>
      </c>
      <c r="D507" s="156" t="s">
        <v>21</v>
      </c>
      <c r="E507" s="156" t="s">
        <v>16</v>
      </c>
      <c r="F507" s="159">
        <v>39757</v>
      </c>
      <c r="G507" s="159">
        <v>79514</v>
      </c>
      <c r="H507" s="156" t="s">
        <v>748</v>
      </c>
    </row>
    <row r="508" spans="1:8" hidden="1" x14ac:dyDescent="0.25">
      <c r="A508" s="158">
        <v>1497</v>
      </c>
      <c r="B508" s="156" t="s">
        <v>740</v>
      </c>
      <c r="C508" s="156" t="s">
        <v>287</v>
      </c>
      <c r="D508" s="156" t="s">
        <v>21</v>
      </c>
      <c r="E508" s="156" t="s">
        <v>17</v>
      </c>
      <c r="F508" s="159">
        <v>40551</v>
      </c>
      <c r="G508" s="159">
        <v>81105</v>
      </c>
      <c r="H508" s="156" t="s">
        <v>749</v>
      </c>
    </row>
    <row r="509" spans="1:8" hidden="1" x14ac:dyDescent="0.25">
      <c r="A509" s="158">
        <v>1498</v>
      </c>
      <c r="B509" s="156" t="s">
        <v>740</v>
      </c>
      <c r="C509" s="156" t="s">
        <v>287</v>
      </c>
      <c r="D509" s="156" t="s">
        <v>21</v>
      </c>
      <c r="E509" s="156" t="s">
        <v>18</v>
      </c>
      <c r="F509" s="159">
        <v>41364</v>
      </c>
      <c r="G509" s="159">
        <v>82726</v>
      </c>
      <c r="H509" s="156" t="s">
        <v>750</v>
      </c>
    </row>
    <row r="510" spans="1:8" hidden="1" x14ac:dyDescent="0.25">
      <c r="A510" s="158">
        <v>1499</v>
      </c>
      <c r="B510" s="156" t="s">
        <v>740</v>
      </c>
      <c r="C510" s="156" t="s">
        <v>287</v>
      </c>
      <c r="D510" s="156" t="s">
        <v>21</v>
      </c>
      <c r="E510" s="156" t="s">
        <v>19</v>
      </c>
      <c r="F510" s="159">
        <v>42191</v>
      </c>
      <c r="G510" s="159">
        <v>84380</v>
      </c>
      <c r="H510" s="156" t="s">
        <v>751</v>
      </c>
    </row>
    <row r="511" spans="1:8" hidden="1" x14ac:dyDescent="0.25">
      <c r="A511" s="158">
        <v>1500</v>
      </c>
      <c r="B511" s="156" t="s">
        <v>740</v>
      </c>
      <c r="C511" s="156" t="s">
        <v>287</v>
      </c>
      <c r="D511" s="156" t="s">
        <v>21</v>
      </c>
      <c r="E511" s="156" t="s">
        <v>20</v>
      </c>
      <c r="F511" s="159">
        <v>43034</v>
      </c>
      <c r="G511" s="159">
        <v>86068</v>
      </c>
      <c r="H511" s="156" t="s">
        <v>752</v>
      </c>
    </row>
    <row r="512" spans="1:8" hidden="1" x14ac:dyDescent="0.25">
      <c r="A512" s="158">
        <v>1501</v>
      </c>
      <c r="B512" s="156" t="s">
        <v>740</v>
      </c>
      <c r="C512" s="156" t="s">
        <v>287</v>
      </c>
      <c r="D512" s="156" t="s">
        <v>203</v>
      </c>
      <c r="E512" s="156" t="s">
        <v>15</v>
      </c>
      <c r="F512" s="159">
        <v>43894</v>
      </c>
      <c r="G512" s="159">
        <v>87789</v>
      </c>
      <c r="H512" s="156" t="s">
        <v>753</v>
      </c>
    </row>
    <row r="513" spans="1:8" hidden="1" x14ac:dyDescent="0.25">
      <c r="A513" s="158">
        <v>1502</v>
      </c>
      <c r="B513" s="156" t="s">
        <v>740</v>
      </c>
      <c r="C513" s="156" t="s">
        <v>287</v>
      </c>
      <c r="D513" s="156" t="s">
        <v>203</v>
      </c>
      <c r="E513" s="156" t="s">
        <v>16</v>
      </c>
      <c r="F513" s="159">
        <v>44772</v>
      </c>
      <c r="G513" s="159">
        <v>89545</v>
      </c>
      <c r="H513" s="156" t="s">
        <v>754</v>
      </c>
    </row>
    <row r="514" spans="1:8" hidden="1" x14ac:dyDescent="0.25">
      <c r="A514" s="158">
        <v>1503</v>
      </c>
      <c r="B514" s="156" t="s">
        <v>740</v>
      </c>
      <c r="C514" s="156" t="s">
        <v>287</v>
      </c>
      <c r="D514" s="156" t="s">
        <v>203</v>
      </c>
      <c r="E514" s="156" t="s">
        <v>17</v>
      </c>
      <c r="F514" s="159">
        <v>45668</v>
      </c>
      <c r="G514" s="159">
        <v>91335</v>
      </c>
      <c r="H514" s="156" t="s">
        <v>755</v>
      </c>
    </row>
    <row r="515" spans="1:8" hidden="1" x14ac:dyDescent="0.25">
      <c r="A515" s="158">
        <v>1504</v>
      </c>
      <c r="B515" s="156" t="s">
        <v>740</v>
      </c>
      <c r="C515" s="156" t="s">
        <v>287</v>
      </c>
      <c r="D515" s="156" t="s">
        <v>203</v>
      </c>
      <c r="E515" s="156" t="s">
        <v>18</v>
      </c>
      <c r="F515" s="159">
        <v>46581</v>
      </c>
      <c r="G515" s="159">
        <v>93163</v>
      </c>
      <c r="H515" s="156" t="s">
        <v>756</v>
      </c>
    </row>
    <row r="516" spans="1:8" hidden="1" x14ac:dyDescent="0.25">
      <c r="A516" s="158">
        <v>1505</v>
      </c>
      <c r="B516" s="156" t="s">
        <v>740</v>
      </c>
      <c r="C516" s="156" t="s">
        <v>287</v>
      </c>
      <c r="D516" s="156" t="s">
        <v>203</v>
      </c>
      <c r="E516" s="156" t="s">
        <v>19</v>
      </c>
      <c r="F516" s="159">
        <v>47512</v>
      </c>
      <c r="G516" s="159">
        <v>95026</v>
      </c>
      <c r="H516" s="156" t="s">
        <v>757</v>
      </c>
    </row>
    <row r="517" spans="1:8" hidden="1" x14ac:dyDescent="0.25">
      <c r="A517" s="158">
        <v>1506</v>
      </c>
      <c r="B517" s="156" t="s">
        <v>740</v>
      </c>
      <c r="C517" s="156" t="s">
        <v>287</v>
      </c>
      <c r="D517" s="156" t="s">
        <v>203</v>
      </c>
      <c r="E517" s="156" t="s">
        <v>20</v>
      </c>
      <c r="F517" s="159">
        <v>48463</v>
      </c>
      <c r="G517" s="159">
        <v>96926</v>
      </c>
      <c r="H517" s="156" t="s">
        <v>758</v>
      </c>
    </row>
    <row r="518" spans="1:8" hidden="1" x14ac:dyDescent="0.25">
      <c r="A518" s="158">
        <v>1507</v>
      </c>
      <c r="B518" s="156" t="s">
        <v>740</v>
      </c>
      <c r="C518" s="156" t="s">
        <v>290</v>
      </c>
      <c r="D518" s="156" t="s">
        <v>14</v>
      </c>
      <c r="E518" s="156" t="s">
        <v>15</v>
      </c>
      <c r="F518" s="159">
        <v>34611</v>
      </c>
      <c r="G518" s="159">
        <v>69221</v>
      </c>
      <c r="H518" s="156" t="s">
        <v>741</v>
      </c>
    </row>
    <row r="519" spans="1:8" hidden="1" x14ac:dyDescent="0.25">
      <c r="A519" s="158">
        <v>1508</v>
      </c>
      <c r="B519" s="156" t="s">
        <v>740</v>
      </c>
      <c r="C519" s="156" t="s">
        <v>290</v>
      </c>
      <c r="D519" s="156" t="s">
        <v>14</v>
      </c>
      <c r="E519" s="156" t="s">
        <v>16</v>
      </c>
      <c r="F519" s="159">
        <v>35304</v>
      </c>
      <c r="G519" s="159">
        <v>70605</v>
      </c>
      <c r="H519" s="156" t="s">
        <v>742</v>
      </c>
    </row>
    <row r="520" spans="1:8" hidden="1" x14ac:dyDescent="0.25">
      <c r="A520" s="158">
        <v>1509</v>
      </c>
      <c r="B520" s="156" t="s">
        <v>740</v>
      </c>
      <c r="C520" s="156" t="s">
        <v>290</v>
      </c>
      <c r="D520" s="156" t="s">
        <v>14</v>
      </c>
      <c r="E520" s="156" t="s">
        <v>17</v>
      </c>
      <c r="F520" s="159">
        <v>36009</v>
      </c>
      <c r="G520" s="159">
        <v>72018</v>
      </c>
      <c r="H520" s="156" t="s">
        <v>743</v>
      </c>
    </row>
    <row r="521" spans="1:8" hidden="1" x14ac:dyDescent="0.25">
      <c r="A521" s="158">
        <v>1510</v>
      </c>
      <c r="B521" s="156" t="s">
        <v>740</v>
      </c>
      <c r="C521" s="156" t="s">
        <v>290</v>
      </c>
      <c r="D521" s="156" t="s">
        <v>14</v>
      </c>
      <c r="E521" s="156" t="s">
        <v>18</v>
      </c>
      <c r="F521" s="159">
        <v>36729</v>
      </c>
      <c r="G521" s="159">
        <v>73458</v>
      </c>
      <c r="H521" s="156" t="s">
        <v>744</v>
      </c>
    </row>
    <row r="522" spans="1:8" hidden="1" x14ac:dyDescent="0.25">
      <c r="A522" s="158">
        <v>1511</v>
      </c>
      <c r="B522" s="156" t="s">
        <v>740</v>
      </c>
      <c r="C522" s="156" t="s">
        <v>290</v>
      </c>
      <c r="D522" s="156" t="s">
        <v>14</v>
      </c>
      <c r="E522" s="156" t="s">
        <v>19</v>
      </c>
      <c r="F522" s="159">
        <v>37464</v>
      </c>
      <c r="G522" s="159">
        <v>74928</v>
      </c>
      <c r="H522" s="156" t="s">
        <v>745</v>
      </c>
    </row>
    <row r="523" spans="1:8" hidden="1" x14ac:dyDescent="0.25">
      <c r="A523" s="158">
        <v>1512</v>
      </c>
      <c r="B523" s="156" t="s">
        <v>740</v>
      </c>
      <c r="C523" s="156" t="s">
        <v>290</v>
      </c>
      <c r="D523" s="156" t="s">
        <v>14</v>
      </c>
      <c r="E523" s="156" t="s">
        <v>20</v>
      </c>
      <c r="F523" s="159">
        <v>38212</v>
      </c>
      <c r="G523" s="159">
        <v>76426</v>
      </c>
      <c r="H523" s="156" t="s">
        <v>746</v>
      </c>
    </row>
    <row r="524" spans="1:8" hidden="1" x14ac:dyDescent="0.25">
      <c r="A524" s="158">
        <v>1513</v>
      </c>
      <c r="B524" s="156" t="s">
        <v>740</v>
      </c>
      <c r="C524" s="156" t="s">
        <v>290</v>
      </c>
      <c r="D524" s="156" t="s">
        <v>21</v>
      </c>
      <c r="E524" s="156" t="s">
        <v>15</v>
      </c>
      <c r="F524" s="159">
        <v>38977</v>
      </c>
      <c r="G524" s="159">
        <v>77955</v>
      </c>
      <c r="H524" s="156" t="s">
        <v>747</v>
      </c>
    </row>
    <row r="525" spans="1:8" hidden="1" x14ac:dyDescent="0.25">
      <c r="A525" s="158">
        <v>1514</v>
      </c>
      <c r="B525" s="156" t="s">
        <v>740</v>
      </c>
      <c r="C525" s="156" t="s">
        <v>290</v>
      </c>
      <c r="D525" s="156" t="s">
        <v>21</v>
      </c>
      <c r="E525" s="156" t="s">
        <v>16</v>
      </c>
      <c r="F525" s="159">
        <v>39757</v>
      </c>
      <c r="G525" s="159">
        <v>79514</v>
      </c>
      <c r="H525" s="156" t="s">
        <v>748</v>
      </c>
    </row>
    <row r="526" spans="1:8" hidden="1" x14ac:dyDescent="0.25">
      <c r="A526" s="158">
        <v>1515</v>
      </c>
      <c r="B526" s="156" t="s">
        <v>740</v>
      </c>
      <c r="C526" s="156" t="s">
        <v>290</v>
      </c>
      <c r="D526" s="156" t="s">
        <v>21</v>
      </c>
      <c r="E526" s="156" t="s">
        <v>17</v>
      </c>
      <c r="F526" s="159">
        <v>40551</v>
      </c>
      <c r="G526" s="159">
        <v>81105</v>
      </c>
      <c r="H526" s="156" t="s">
        <v>749</v>
      </c>
    </row>
    <row r="527" spans="1:8" hidden="1" x14ac:dyDescent="0.25">
      <c r="A527" s="158">
        <v>1516</v>
      </c>
      <c r="B527" s="156" t="s">
        <v>740</v>
      </c>
      <c r="C527" s="156" t="s">
        <v>290</v>
      </c>
      <c r="D527" s="156" t="s">
        <v>21</v>
      </c>
      <c r="E527" s="156" t="s">
        <v>18</v>
      </c>
      <c r="F527" s="159">
        <v>41364</v>
      </c>
      <c r="G527" s="159">
        <v>82726</v>
      </c>
      <c r="H527" s="156" t="s">
        <v>750</v>
      </c>
    </row>
    <row r="528" spans="1:8" hidden="1" x14ac:dyDescent="0.25">
      <c r="A528" s="158">
        <v>1517</v>
      </c>
      <c r="B528" s="156" t="s">
        <v>740</v>
      </c>
      <c r="C528" s="156" t="s">
        <v>290</v>
      </c>
      <c r="D528" s="156" t="s">
        <v>21</v>
      </c>
      <c r="E528" s="156" t="s">
        <v>19</v>
      </c>
      <c r="F528" s="159">
        <v>42191</v>
      </c>
      <c r="G528" s="159">
        <v>84380</v>
      </c>
      <c r="H528" s="156" t="s">
        <v>751</v>
      </c>
    </row>
    <row r="529" spans="1:8" hidden="1" x14ac:dyDescent="0.25">
      <c r="A529" s="158">
        <v>1518</v>
      </c>
      <c r="B529" s="156" t="s">
        <v>740</v>
      </c>
      <c r="C529" s="156" t="s">
        <v>290</v>
      </c>
      <c r="D529" s="156" t="s">
        <v>21</v>
      </c>
      <c r="E529" s="156" t="s">
        <v>20</v>
      </c>
      <c r="F529" s="159">
        <v>43034</v>
      </c>
      <c r="G529" s="159">
        <v>86068</v>
      </c>
      <c r="H529" s="156" t="s">
        <v>752</v>
      </c>
    </row>
    <row r="530" spans="1:8" hidden="1" x14ac:dyDescent="0.25">
      <c r="A530" s="158">
        <v>1519</v>
      </c>
      <c r="B530" s="156" t="s">
        <v>740</v>
      </c>
      <c r="C530" s="156" t="s">
        <v>290</v>
      </c>
      <c r="D530" s="156" t="s">
        <v>203</v>
      </c>
      <c r="E530" s="156" t="s">
        <v>15</v>
      </c>
      <c r="F530" s="159">
        <v>43894</v>
      </c>
      <c r="G530" s="159">
        <v>87789</v>
      </c>
      <c r="H530" s="156" t="s">
        <v>753</v>
      </c>
    </row>
    <row r="531" spans="1:8" hidden="1" x14ac:dyDescent="0.25">
      <c r="A531" s="158">
        <v>1520</v>
      </c>
      <c r="B531" s="156" t="s">
        <v>740</v>
      </c>
      <c r="C531" s="156" t="s">
        <v>290</v>
      </c>
      <c r="D531" s="156" t="s">
        <v>203</v>
      </c>
      <c r="E531" s="156" t="s">
        <v>16</v>
      </c>
      <c r="F531" s="159">
        <v>44772</v>
      </c>
      <c r="G531" s="159">
        <v>89545</v>
      </c>
      <c r="H531" s="156" t="s">
        <v>754</v>
      </c>
    </row>
    <row r="532" spans="1:8" hidden="1" x14ac:dyDescent="0.25">
      <c r="A532" s="158">
        <v>1521</v>
      </c>
      <c r="B532" s="156" t="s">
        <v>740</v>
      </c>
      <c r="C532" s="156" t="s">
        <v>290</v>
      </c>
      <c r="D532" s="156" t="s">
        <v>203</v>
      </c>
      <c r="E532" s="156" t="s">
        <v>17</v>
      </c>
      <c r="F532" s="159">
        <v>45668</v>
      </c>
      <c r="G532" s="159">
        <v>91335</v>
      </c>
      <c r="H532" s="156" t="s">
        <v>755</v>
      </c>
    </row>
    <row r="533" spans="1:8" hidden="1" x14ac:dyDescent="0.25">
      <c r="A533" s="158">
        <v>1522</v>
      </c>
      <c r="B533" s="156" t="s">
        <v>740</v>
      </c>
      <c r="C533" s="156" t="s">
        <v>290</v>
      </c>
      <c r="D533" s="156" t="s">
        <v>203</v>
      </c>
      <c r="E533" s="156" t="s">
        <v>18</v>
      </c>
      <c r="F533" s="159">
        <v>46581</v>
      </c>
      <c r="G533" s="159">
        <v>93163</v>
      </c>
      <c r="H533" s="156" t="s">
        <v>756</v>
      </c>
    </row>
    <row r="534" spans="1:8" hidden="1" x14ac:dyDescent="0.25">
      <c r="A534" s="158">
        <v>1523</v>
      </c>
      <c r="B534" s="156" t="s">
        <v>740</v>
      </c>
      <c r="C534" s="156" t="s">
        <v>290</v>
      </c>
      <c r="D534" s="156" t="s">
        <v>203</v>
      </c>
      <c r="E534" s="156" t="s">
        <v>19</v>
      </c>
      <c r="F534" s="159">
        <v>47512</v>
      </c>
      <c r="G534" s="159">
        <v>95026</v>
      </c>
      <c r="H534" s="156" t="s">
        <v>757</v>
      </c>
    </row>
    <row r="535" spans="1:8" hidden="1" x14ac:dyDescent="0.25">
      <c r="A535" s="158">
        <v>1524</v>
      </c>
      <c r="B535" s="156" t="s">
        <v>740</v>
      </c>
      <c r="C535" s="156" t="s">
        <v>290</v>
      </c>
      <c r="D535" s="156" t="s">
        <v>203</v>
      </c>
      <c r="E535" s="156" t="s">
        <v>20</v>
      </c>
      <c r="F535" s="159">
        <v>48463</v>
      </c>
      <c r="G535" s="159">
        <v>96926</v>
      </c>
      <c r="H535" s="156" t="s">
        <v>758</v>
      </c>
    </row>
    <row r="536" spans="1:8" hidden="1" x14ac:dyDescent="0.25">
      <c r="A536" s="158">
        <v>1525</v>
      </c>
      <c r="B536" s="156" t="s">
        <v>740</v>
      </c>
      <c r="C536" s="156" t="s">
        <v>234</v>
      </c>
      <c r="D536" s="156" t="s">
        <v>14</v>
      </c>
      <c r="E536" s="156" t="s">
        <v>15</v>
      </c>
      <c r="F536" s="159">
        <v>18382</v>
      </c>
      <c r="G536" s="159">
        <v>36764</v>
      </c>
      <c r="H536" s="159">
        <v>55146</v>
      </c>
    </row>
    <row r="537" spans="1:8" hidden="1" x14ac:dyDescent="0.25">
      <c r="A537" s="158">
        <v>1526</v>
      </c>
      <c r="B537" s="156" t="s">
        <v>740</v>
      </c>
      <c r="C537" s="156" t="s">
        <v>234</v>
      </c>
      <c r="D537" s="156" t="s">
        <v>14</v>
      </c>
      <c r="E537" s="156" t="s">
        <v>16</v>
      </c>
      <c r="F537" s="159">
        <v>18750</v>
      </c>
      <c r="G537" s="159">
        <v>37500</v>
      </c>
      <c r="H537" s="159">
        <v>56250</v>
      </c>
    </row>
    <row r="538" spans="1:8" hidden="1" x14ac:dyDescent="0.25">
      <c r="A538" s="158">
        <v>1527</v>
      </c>
      <c r="B538" s="156" t="s">
        <v>740</v>
      </c>
      <c r="C538" s="156" t="s">
        <v>234</v>
      </c>
      <c r="D538" s="156" t="s">
        <v>14</v>
      </c>
      <c r="E538" s="156" t="s">
        <v>17</v>
      </c>
      <c r="F538" s="159">
        <v>19126</v>
      </c>
      <c r="G538" s="159">
        <v>38250</v>
      </c>
      <c r="H538" s="159">
        <v>57375</v>
      </c>
    </row>
    <row r="539" spans="1:8" hidden="1" x14ac:dyDescent="0.25">
      <c r="A539" s="158">
        <v>1528</v>
      </c>
      <c r="B539" s="156" t="s">
        <v>740</v>
      </c>
      <c r="C539" s="156" t="s">
        <v>234</v>
      </c>
      <c r="D539" s="156" t="s">
        <v>14</v>
      </c>
      <c r="E539" s="156" t="s">
        <v>18</v>
      </c>
      <c r="F539" s="159">
        <v>19507</v>
      </c>
      <c r="G539" s="159">
        <v>39014</v>
      </c>
      <c r="H539" s="159">
        <v>58521</v>
      </c>
    </row>
    <row r="540" spans="1:8" hidden="1" x14ac:dyDescent="0.25">
      <c r="A540" s="158">
        <v>1529</v>
      </c>
      <c r="B540" s="156" t="s">
        <v>740</v>
      </c>
      <c r="C540" s="156" t="s">
        <v>234</v>
      </c>
      <c r="D540" s="156" t="s">
        <v>14</v>
      </c>
      <c r="E540" s="156" t="s">
        <v>19</v>
      </c>
      <c r="F540" s="159">
        <v>19897</v>
      </c>
      <c r="G540" s="159">
        <v>39795</v>
      </c>
      <c r="H540" s="159">
        <v>59692</v>
      </c>
    </row>
    <row r="541" spans="1:8" hidden="1" x14ac:dyDescent="0.25">
      <c r="A541" s="158">
        <v>1530</v>
      </c>
      <c r="B541" s="156" t="s">
        <v>740</v>
      </c>
      <c r="C541" s="156" t="s">
        <v>234</v>
      </c>
      <c r="D541" s="156" t="s">
        <v>14</v>
      </c>
      <c r="E541" s="156" t="s">
        <v>20</v>
      </c>
      <c r="F541" s="159">
        <v>20296</v>
      </c>
      <c r="G541" s="159">
        <v>40591</v>
      </c>
      <c r="H541" s="159">
        <v>60887</v>
      </c>
    </row>
    <row r="542" spans="1:8" hidden="1" x14ac:dyDescent="0.25">
      <c r="A542" s="158">
        <v>1531</v>
      </c>
      <c r="B542" s="156" t="s">
        <v>740</v>
      </c>
      <c r="C542" s="156" t="s">
        <v>234</v>
      </c>
      <c r="D542" s="156" t="s">
        <v>21</v>
      </c>
      <c r="E542" s="156" t="s">
        <v>15</v>
      </c>
      <c r="F542" s="159">
        <v>20701</v>
      </c>
      <c r="G542" s="159">
        <v>41402</v>
      </c>
      <c r="H542" s="159">
        <v>62103</v>
      </c>
    </row>
    <row r="543" spans="1:8" hidden="1" x14ac:dyDescent="0.25">
      <c r="A543" s="158">
        <v>1532</v>
      </c>
      <c r="B543" s="156" t="s">
        <v>740</v>
      </c>
      <c r="C543" s="156" t="s">
        <v>234</v>
      </c>
      <c r="D543" s="156" t="s">
        <v>21</v>
      </c>
      <c r="E543" s="156" t="s">
        <v>16</v>
      </c>
      <c r="F543" s="159">
        <v>21116</v>
      </c>
      <c r="G543" s="159">
        <v>42231</v>
      </c>
      <c r="H543" s="159">
        <v>63347</v>
      </c>
    </row>
    <row r="544" spans="1:8" hidden="1" x14ac:dyDescent="0.25">
      <c r="A544" s="158">
        <v>1533</v>
      </c>
      <c r="B544" s="156" t="s">
        <v>740</v>
      </c>
      <c r="C544" s="156" t="s">
        <v>234</v>
      </c>
      <c r="D544" s="156" t="s">
        <v>21</v>
      </c>
      <c r="E544" s="156" t="s">
        <v>17</v>
      </c>
      <c r="F544" s="159">
        <v>21537</v>
      </c>
      <c r="G544" s="159">
        <v>43075</v>
      </c>
      <c r="H544" s="159">
        <v>64611</v>
      </c>
    </row>
    <row r="545" spans="1:8" hidden="1" x14ac:dyDescent="0.25">
      <c r="A545" s="158">
        <v>1534</v>
      </c>
      <c r="B545" s="156" t="s">
        <v>740</v>
      </c>
      <c r="C545" s="156" t="s">
        <v>234</v>
      </c>
      <c r="D545" s="156" t="s">
        <v>21</v>
      </c>
      <c r="E545" s="156" t="s">
        <v>18</v>
      </c>
      <c r="F545" s="159">
        <v>21969</v>
      </c>
      <c r="G545" s="159">
        <v>43936</v>
      </c>
      <c r="H545" s="159">
        <v>65905</v>
      </c>
    </row>
    <row r="546" spans="1:8" hidden="1" x14ac:dyDescent="0.25">
      <c r="A546" s="158">
        <v>1535</v>
      </c>
      <c r="B546" s="156" t="s">
        <v>740</v>
      </c>
      <c r="C546" s="156" t="s">
        <v>234</v>
      </c>
      <c r="D546" s="156" t="s">
        <v>21</v>
      </c>
      <c r="E546" s="156" t="s">
        <v>19</v>
      </c>
      <c r="F546" s="159">
        <v>22408</v>
      </c>
      <c r="G546" s="159">
        <v>44815</v>
      </c>
      <c r="H546" s="159">
        <v>67221</v>
      </c>
    </row>
    <row r="547" spans="1:8" hidden="1" x14ac:dyDescent="0.25">
      <c r="A547" s="158">
        <v>1536</v>
      </c>
      <c r="B547" s="156" t="s">
        <v>740</v>
      </c>
      <c r="C547" s="156" t="s">
        <v>234</v>
      </c>
      <c r="D547" s="156" t="s">
        <v>21</v>
      </c>
      <c r="E547" s="156" t="s">
        <v>20</v>
      </c>
      <c r="F547" s="159">
        <v>22856</v>
      </c>
      <c r="G547" s="159">
        <v>45711</v>
      </c>
      <c r="H547" s="159">
        <v>68567</v>
      </c>
    </row>
    <row r="548" spans="1:8" hidden="1" x14ac:dyDescent="0.25">
      <c r="A548" s="158">
        <v>1537</v>
      </c>
      <c r="B548" s="156" t="s">
        <v>740</v>
      </c>
      <c r="C548" s="156" t="s">
        <v>234</v>
      </c>
      <c r="D548" s="156" t="s">
        <v>203</v>
      </c>
      <c r="E548" s="156" t="s">
        <v>15</v>
      </c>
      <c r="F548" s="159">
        <v>23312</v>
      </c>
      <c r="G548" s="159">
        <v>46625</v>
      </c>
      <c r="H548" s="159">
        <v>69937</v>
      </c>
    </row>
    <row r="549" spans="1:8" hidden="1" x14ac:dyDescent="0.25">
      <c r="A549" s="158">
        <v>1538</v>
      </c>
      <c r="B549" s="156" t="s">
        <v>740</v>
      </c>
      <c r="C549" s="156" t="s">
        <v>234</v>
      </c>
      <c r="D549" s="156" t="s">
        <v>203</v>
      </c>
      <c r="E549" s="156" t="s">
        <v>16</v>
      </c>
      <c r="F549" s="159">
        <v>23780</v>
      </c>
      <c r="G549" s="159">
        <v>47558</v>
      </c>
      <c r="H549" s="159">
        <v>71338</v>
      </c>
    </row>
    <row r="550" spans="1:8" hidden="1" x14ac:dyDescent="0.25">
      <c r="A550" s="158">
        <v>1539</v>
      </c>
      <c r="B550" s="156" t="s">
        <v>740</v>
      </c>
      <c r="C550" s="156" t="s">
        <v>234</v>
      </c>
      <c r="D550" s="156" t="s">
        <v>203</v>
      </c>
      <c r="E550" s="156" t="s">
        <v>17</v>
      </c>
      <c r="F550" s="159">
        <v>24255</v>
      </c>
      <c r="G550" s="159">
        <v>48509</v>
      </c>
      <c r="H550" s="159">
        <v>72764</v>
      </c>
    </row>
    <row r="551" spans="1:8" hidden="1" x14ac:dyDescent="0.25">
      <c r="A551" s="158">
        <v>1540</v>
      </c>
      <c r="B551" s="156" t="s">
        <v>740</v>
      </c>
      <c r="C551" s="156" t="s">
        <v>234</v>
      </c>
      <c r="D551" s="156" t="s">
        <v>203</v>
      </c>
      <c r="E551" s="156" t="s">
        <v>18</v>
      </c>
      <c r="F551" s="159">
        <v>24740</v>
      </c>
      <c r="G551" s="159">
        <v>49480</v>
      </c>
      <c r="H551" s="159">
        <v>74221</v>
      </c>
    </row>
    <row r="552" spans="1:8" hidden="1" x14ac:dyDescent="0.25">
      <c r="A552" s="158">
        <v>1541</v>
      </c>
      <c r="B552" s="156" t="s">
        <v>740</v>
      </c>
      <c r="C552" s="156" t="s">
        <v>234</v>
      </c>
      <c r="D552" s="156" t="s">
        <v>203</v>
      </c>
      <c r="E552" s="156" t="s">
        <v>19</v>
      </c>
      <c r="F552" s="159">
        <v>25235</v>
      </c>
      <c r="G552" s="159">
        <v>50469</v>
      </c>
      <c r="H552" s="159">
        <v>75705</v>
      </c>
    </row>
    <row r="553" spans="1:8" hidden="1" x14ac:dyDescent="0.25">
      <c r="A553" s="158">
        <v>1542</v>
      </c>
      <c r="B553" s="156" t="s">
        <v>740</v>
      </c>
      <c r="C553" s="156" t="s">
        <v>234</v>
      </c>
      <c r="D553" s="156" t="s">
        <v>203</v>
      </c>
      <c r="E553" s="156" t="s">
        <v>20</v>
      </c>
      <c r="F553" s="159">
        <v>25740</v>
      </c>
      <c r="G553" s="159">
        <v>51479</v>
      </c>
      <c r="H553" s="159">
        <v>77219</v>
      </c>
    </row>
    <row r="554" spans="1:8" hidden="1" x14ac:dyDescent="0.25">
      <c r="A554" s="158">
        <v>1543</v>
      </c>
      <c r="B554" s="156" t="s">
        <v>740</v>
      </c>
      <c r="C554" s="156" t="s">
        <v>305</v>
      </c>
      <c r="D554" s="156" t="s">
        <v>14</v>
      </c>
      <c r="E554" s="156" t="s">
        <v>15</v>
      </c>
      <c r="F554" s="159">
        <v>18382</v>
      </c>
      <c r="G554" s="159">
        <v>36764</v>
      </c>
      <c r="H554" s="159">
        <v>55146</v>
      </c>
    </row>
    <row r="555" spans="1:8" hidden="1" x14ac:dyDescent="0.25">
      <c r="A555" s="158">
        <v>1544</v>
      </c>
      <c r="B555" s="156" t="s">
        <v>740</v>
      </c>
      <c r="C555" s="156" t="s">
        <v>305</v>
      </c>
      <c r="D555" s="156" t="s">
        <v>14</v>
      </c>
      <c r="E555" s="156" t="s">
        <v>16</v>
      </c>
      <c r="F555" s="159">
        <v>18750</v>
      </c>
      <c r="G555" s="159">
        <v>37500</v>
      </c>
      <c r="H555" s="159">
        <v>56250</v>
      </c>
    </row>
    <row r="556" spans="1:8" hidden="1" x14ac:dyDescent="0.25">
      <c r="A556" s="158">
        <v>1545</v>
      </c>
      <c r="B556" s="156" t="s">
        <v>740</v>
      </c>
      <c r="C556" s="156" t="s">
        <v>305</v>
      </c>
      <c r="D556" s="156" t="s">
        <v>14</v>
      </c>
      <c r="E556" s="156" t="s">
        <v>17</v>
      </c>
      <c r="F556" s="159">
        <v>19126</v>
      </c>
      <c r="G556" s="159">
        <v>38250</v>
      </c>
      <c r="H556" s="159">
        <v>57375</v>
      </c>
    </row>
    <row r="557" spans="1:8" hidden="1" x14ac:dyDescent="0.25">
      <c r="A557" s="158">
        <v>1546</v>
      </c>
      <c r="B557" s="156" t="s">
        <v>740</v>
      </c>
      <c r="C557" s="156" t="s">
        <v>305</v>
      </c>
      <c r="D557" s="156" t="s">
        <v>14</v>
      </c>
      <c r="E557" s="156" t="s">
        <v>18</v>
      </c>
      <c r="F557" s="159">
        <v>19507</v>
      </c>
      <c r="G557" s="159">
        <v>39014</v>
      </c>
      <c r="H557" s="159">
        <v>58521</v>
      </c>
    </row>
    <row r="558" spans="1:8" hidden="1" x14ac:dyDescent="0.25">
      <c r="A558" s="158">
        <v>1547</v>
      </c>
      <c r="B558" s="156" t="s">
        <v>740</v>
      </c>
      <c r="C558" s="156" t="s">
        <v>305</v>
      </c>
      <c r="D558" s="156" t="s">
        <v>14</v>
      </c>
      <c r="E558" s="156" t="s">
        <v>19</v>
      </c>
      <c r="F558" s="159">
        <v>19897</v>
      </c>
      <c r="G558" s="159">
        <v>39795</v>
      </c>
      <c r="H558" s="159">
        <v>59692</v>
      </c>
    </row>
    <row r="559" spans="1:8" hidden="1" x14ac:dyDescent="0.25">
      <c r="A559" s="158">
        <v>1548</v>
      </c>
      <c r="B559" s="156" t="s">
        <v>740</v>
      </c>
      <c r="C559" s="156" t="s">
        <v>305</v>
      </c>
      <c r="D559" s="156" t="s">
        <v>14</v>
      </c>
      <c r="E559" s="156" t="s">
        <v>20</v>
      </c>
      <c r="F559" s="159">
        <v>20296</v>
      </c>
      <c r="G559" s="159">
        <v>40591</v>
      </c>
      <c r="H559" s="159">
        <v>60887</v>
      </c>
    </row>
    <row r="560" spans="1:8" hidden="1" x14ac:dyDescent="0.25">
      <c r="A560" s="158">
        <v>1549</v>
      </c>
      <c r="B560" s="156" t="s">
        <v>740</v>
      </c>
      <c r="C560" s="156" t="s">
        <v>305</v>
      </c>
      <c r="D560" s="156" t="s">
        <v>21</v>
      </c>
      <c r="E560" s="156" t="s">
        <v>15</v>
      </c>
      <c r="F560" s="159">
        <v>20701</v>
      </c>
      <c r="G560" s="159">
        <v>41402</v>
      </c>
      <c r="H560" s="159">
        <v>62103</v>
      </c>
    </row>
    <row r="561" spans="1:8" hidden="1" x14ac:dyDescent="0.25">
      <c r="A561" s="158">
        <v>1550</v>
      </c>
      <c r="B561" s="156" t="s">
        <v>740</v>
      </c>
      <c r="C561" s="156" t="s">
        <v>305</v>
      </c>
      <c r="D561" s="156" t="s">
        <v>21</v>
      </c>
      <c r="E561" s="156" t="s">
        <v>16</v>
      </c>
      <c r="F561" s="159">
        <v>21116</v>
      </c>
      <c r="G561" s="159">
        <v>42231</v>
      </c>
      <c r="H561" s="159">
        <v>63347</v>
      </c>
    </row>
    <row r="562" spans="1:8" hidden="1" x14ac:dyDescent="0.25">
      <c r="A562" s="158">
        <v>1551</v>
      </c>
      <c r="B562" s="156" t="s">
        <v>740</v>
      </c>
      <c r="C562" s="156" t="s">
        <v>305</v>
      </c>
      <c r="D562" s="156" t="s">
        <v>21</v>
      </c>
      <c r="E562" s="156" t="s">
        <v>17</v>
      </c>
      <c r="F562" s="159">
        <v>21537</v>
      </c>
      <c r="G562" s="159">
        <v>43075</v>
      </c>
      <c r="H562" s="159">
        <v>64611</v>
      </c>
    </row>
    <row r="563" spans="1:8" hidden="1" x14ac:dyDescent="0.25">
      <c r="A563" s="158">
        <v>1552</v>
      </c>
      <c r="B563" s="156" t="s">
        <v>740</v>
      </c>
      <c r="C563" s="156" t="s">
        <v>305</v>
      </c>
      <c r="D563" s="156" t="s">
        <v>21</v>
      </c>
      <c r="E563" s="156" t="s">
        <v>18</v>
      </c>
      <c r="F563" s="159">
        <v>21969</v>
      </c>
      <c r="G563" s="159">
        <v>43936</v>
      </c>
      <c r="H563" s="159">
        <v>65905</v>
      </c>
    </row>
    <row r="564" spans="1:8" hidden="1" x14ac:dyDescent="0.25">
      <c r="A564" s="158">
        <v>1553</v>
      </c>
      <c r="B564" s="156" t="s">
        <v>740</v>
      </c>
      <c r="C564" s="156" t="s">
        <v>305</v>
      </c>
      <c r="D564" s="156" t="s">
        <v>21</v>
      </c>
      <c r="E564" s="156" t="s">
        <v>19</v>
      </c>
      <c r="F564" s="159">
        <v>22408</v>
      </c>
      <c r="G564" s="159">
        <v>44815</v>
      </c>
      <c r="H564" s="159">
        <v>67221</v>
      </c>
    </row>
    <row r="565" spans="1:8" hidden="1" x14ac:dyDescent="0.25">
      <c r="A565" s="158">
        <v>1554</v>
      </c>
      <c r="B565" s="156" t="s">
        <v>740</v>
      </c>
      <c r="C565" s="156" t="s">
        <v>305</v>
      </c>
      <c r="D565" s="156" t="s">
        <v>21</v>
      </c>
      <c r="E565" s="156" t="s">
        <v>20</v>
      </c>
      <c r="F565" s="159">
        <v>22856</v>
      </c>
      <c r="G565" s="159">
        <v>45711</v>
      </c>
      <c r="H565" s="159">
        <v>68567</v>
      </c>
    </row>
    <row r="566" spans="1:8" hidden="1" x14ac:dyDescent="0.25">
      <c r="A566" s="158">
        <v>1555</v>
      </c>
      <c r="B566" s="156" t="s">
        <v>740</v>
      </c>
      <c r="C566" s="156" t="s">
        <v>305</v>
      </c>
      <c r="D566" s="156" t="s">
        <v>203</v>
      </c>
      <c r="E566" s="156" t="s">
        <v>15</v>
      </c>
      <c r="F566" s="159">
        <v>23312</v>
      </c>
      <c r="G566" s="159">
        <v>46625</v>
      </c>
      <c r="H566" s="159">
        <v>69937</v>
      </c>
    </row>
    <row r="567" spans="1:8" hidden="1" x14ac:dyDescent="0.25">
      <c r="A567" s="158">
        <v>1556</v>
      </c>
      <c r="B567" s="156" t="s">
        <v>740</v>
      </c>
      <c r="C567" s="156" t="s">
        <v>305</v>
      </c>
      <c r="D567" s="156" t="s">
        <v>203</v>
      </c>
      <c r="E567" s="156" t="s">
        <v>16</v>
      </c>
      <c r="F567" s="159">
        <v>23780</v>
      </c>
      <c r="G567" s="159">
        <v>47558</v>
      </c>
      <c r="H567" s="159">
        <v>71338</v>
      </c>
    </row>
    <row r="568" spans="1:8" hidden="1" x14ac:dyDescent="0.25">
      <c r="A568" s="158">
        <v>1557</v>
      </c>
      <c r="B568" s="156" t="s">
        <v>740</v>
      </c>
      <c r="C568" s="156" t="s">
        <v>305</v>
      </c>
      <c r="D568" s="156" t="s">
        <v>203</v>
      </c>
      <c r="E568" s="156" t="s">
        <v>17</v>
      </c>
      <c r="F568" s="159">
        <v>24255</v>
      </c>
      <c r="G568" s="159">
        <v>48509</v>
      </c>
      <c r="H568" s="159">
        <v>72764</v>
      </c>
    </row>
    <row r="569" spans="1:8" hidden="1" x14ac:dyDescent="0.25">
      <c r="A569" s="158">
        <v>1558</v>
      </c>
      <c r="B569" s="156" t="s">
        <v>740</v>
      </c>
      <c r="C569" s="156" t="s">
        <v>305</v>
      </c>
      <c r="D569" s="156" t="s">
        <v>203</v>
      </c>
      <c r="E569" s="156" t="s">
        <v>18</v>
      </c>
      <c r="F569" s="159">
        <v>24740</v>
      </c>
      <c r="G569" s="159">
        <v>49480</v>
      </c>
      <c r="H569" s="159">
        <v>74221</v>
      </c>
    </row>
    <row r="570" spans="1:8" hidden="1" x14ac:dyDescent="0.25">
      <c r="A570" s="158">
        <v>1559</v>
      </c>
      <c r="B570" s="156" t="s">
        <v>740</v>
      </c>
      <c r="C570" s="156" t="s">
        <v>305</v>
      </c>
      <c r="D570" s="156" t="s">
        <v>203</v>
      </c>
      <c r="E570" s="156" t="s">
        <v>19</v>
      </c>
      <c r="F570" s="159">
        <v>25235</v>
      </c>
      <c r="G570" s="159">
        <v>50469</v>
      </c>
      <c r="H570" s="159">
        <v>75705</v>
      </c>
    </row>
    <row r="571" spans="1:8" hidden="1" x14ac:dyDescent="0.25">
      <c r="A571" s="158">
        <v>1560</v>
      </c>
      <c r="B571" s="156" t="s">
        <v>740</v>
      </c>
      <c r="C571" s="156" t="s">
        <v>305</v>
      </c>
      <c r="D571" s="156" t="s">
        <v>203</v>
      </c>
      <c r="E571" s="156" t="s">
        <v>20</v>
      </c>
      <c r="F571" s="159">
        <v>25740</v>
      </c>
      <c r="G571" s="159">
        <v>51479</v>
      </c>
      <c r="H571" s="159">
        <v>77219</v>
      </c>
    </row>
    <row r="572" spans="1:8" hidden="1" x14ac:dyDescent="0.25">
      <c r="A572" s="158">
        <v>1561</v>
      </c>
      <c r="B572" s="156" t="s">
        <v>740</v>
      </c>
      <c r="C572" s="156" t="s">
        <v>328</v>
      </c>
      <c r="D572" s="156" t="s">
        <v>14</v>
      </c>
      <c r="E572" s="156" t="s">
        <v>15</v>
      </c>
      <c r="F572" s="159">
        <v>22212</v>
      </c>
      <c r="G572" s="159">
        <v>44426</v>
      </c>
      <c r="H572" s="159">
        <v>66638</v>
      </c>
    </row>
    <row r="573" spans="1:8" hidden="1" x14ac:dyDescent="0.25">
      <c r="A573" s="158">
        <v>1562</v>
      </c>
      <c r="B573" s="156" t="s">
        <v>740</v>
      </c>
      <c r="C573" s="156" t="s">
        <v>328</v>
      </c>
      <c r="D573" s="156" t="s">
        <v>14</v>
      </c>
      <c r="E573" s="156" t="s">
        <v>16</v>
      </c>
      <c r="F573" s="159">
        <v>22658</v>
      </c>
      <c r="G573" s="159">
        <v>45315</v>
      </c>
      <c r="H573" s="159">
        <v>67974</v>
      </c>
    </row>
    <row r="574" spans="1:8" hidden="1" x14ac:dyDescent="0.25">
      <c r="A574" s="158">
        <v>1563</v>
      </c>
      <c r="B574" s="156" t="s">
        <v>740</v>
      </c>
      <c r="C574" s="156" t="s">
        <v>328</v>
      </c>
      <c r="D574" s="156" t="s">
        <v>14</v>
      </c>
      <c r="E574" s="156" t="s">
        <v>17</v>
      </c>
      <c r="F574" s="159">
        <v>23110</v>
      </c>
      <c r="G574" s="159">
        <v>46222</v>
      </c>
      <c r="H574" s="159">
        <v>69332</v>
      </c>
    </row>
    <row r="575" spans="1:8" hidden="1" x14ac:dyDescent="0.25">
      <c r="A575" s="158">
        <v>1564</v>
      </c>
      <c r="B575" s="156" t="s">
        <v>740</v>
      </c>
      <c r="C575" s="156" t="s">
        <v>328</v>
      </c>
      <c r="D575" s="156" t="s">
        <v>14</v>
      </c>
      <c r="E575" s="156" t="s">
        <v>18</v>
      </c>
      <c r="F575" s="159">
        <v>23572</v>
      </c>
      <c r="G575" s="159">
        <v>47144</v>
      </c>
      <c r="H575" s="159">
        <v>70716</v>
      </c>
    </row>
    <row r="576" spans="1:8" hidden="1" x14ac:dyDescent="0.25">
      <c r="A576" s="158">
        <v>1565</v>
      </c>
      <c r="B576" s="156" t="s">
        <v>740</v>
      </c>
      <c r="C576" s="156" t="s">
        <v>328</v>
      </c>
      <c r="D576" s="156" t="s">
        <v>14</v>
      </c>
      <c r="E576" s="156" t="s">
        <v>19</v>
      </c>
      <c r="F576" s="159">
        <v>24044</v>
      </c>
      <c r="G576" s="159">
        <v>48087</v>
      </c>
      <c r="H576" s="159">
        <v>72131</v>
      </c>
    </row>
    <row r="577" spans="1:8" hidden="1" x14ac:dyDescent="0.25">
      <c r="A577" s="158">
        <v>1566</v>
      </c>
      <c r="B577" s="156" t="s">
        <v>740</v>
      </c>
      <c r="C577" s="156" t="s">
        <v>328</v>
      </c>
      <c r="D577" s="156" t="s">
        <v>14</v>
      </c>
      <c r="E577" s="156" t="s">
        <v>20</v>
      </c>
      <c r="F577" s="159">
        <v>24524</v>
      </c>
      <c r="G577" s="159">
        <v>49050</v>
      </c>
      <c r="H577" s="159">
        <v>73574</v>
      </c>
    </row>
    <row r="578" spans="1:8" hidden="1" x14ac:dyDescent="0.25">
      <c r="A578" s="158">
        <v>1567</v>
      </c>
      <c r="B578" s="156" t="s">
        <v>740</v>
      </c>
      <c r="C578" s="156" t="s">
        <v>328</v>
      </c>
      <c r="D578" s="156" t="s">
        <v>21</v>
      </c>
      <c r="E578" s="156" t="s">
        <v>15</v>
      </c>
      <c r="F578" s="159">
        <v>25015</v>
      </c>
      <c r="G578" s="159">
        <v>50030</v>
      </c>
      <c r="H578" s="159">
        <v>75045</v>
      </c>
    </row>
    <row r="579" spans="1:8" hidden="1" x14ac:dyDescent="0.25">
      <c r="A579" s="158">
        <v>1568</v>
      </c>
      <c r="B579" s="156" t="s">
        <v>740</v>
      </c>
      <c r="C579" s="156" t="s">
        <v>328</v>
      </c>
      <c r="D579" s="156" t="s">
        <v>21</v>
      </c>
      <c r="E579" s="156" t="s">
        <v>16</v>
      </c>
      <c r="F579" s="159">
        <v>25516</v>
      </c>
      <c r="G579" s="159">
        <v>51031</v>
      </c>
      <c r="H579" s="159">
        <v>76548</v>
      </c>
    </row>
    <row r="580" spans="1:8" hidden="1" x14ac:dyDescent="0.25">
      <c r="A580" s="158">
        <v>1569</v>
      </c>
      <c r="B580" s="156" t="s">
        <v>740</v>
      </c>
      <c r="C580" s="156" t="s">
        <v>328</v>
      </c>
      <c r="D580" s="156" t="s">
        <v>21</v>
      </c>
      <c r="E580" s="156" t="s">
        <v>17</v>
      </c>
      <c r="F580" s="159">
        <v>26026</v>
      </c>
      <c r="G580" s="159">
        <v>52052</v>
      </c>
      <c r="H580" s="159">
        <v>78078</v>
      </c>
    </row>
    <row r="581" spans="1:8" hidden="1" x14ac:dyDescent="0.25">
      <c r="A581" s="158">
        <v>1570</v>
      </c>
      <c r="B581" s="156" t="s">
        <v>740</v>
      </c>
      <c r="C581" s="156" t="s">
        <v>328</v>
      </c>
      <c r="D581" s="156" t="s">
        <v>21</v>
      </c>
      <c r="E581" s="156" t="s">
        <v>18</v>
      </c>
      <c r="F581" s="159">
        <v>26547</v>
      </c>
      <c r="G581" s="159">
        <v>53094</v>
      </c>
      <c r="H581" s="159">
        <v>79640</v>
      </c>
    </row>
    <row r="582" spans="1:8" hidden="1" x14ac:dyDescent="0.25">
      <c r="A582" s="158">
        <v>1571</v>
      </c>
      <c r="B582" s="156" t="s">
        <v>740</v>
      </c>
      <c r="C582" s="156" t="s">
        <v>328</v>
      </c>
      <c r="D582" s="156" t="s">
        <v>21</v>
      </c>
      <c r="E582" s="156" t="s">
        <v>19</v>
      </c>
      <c r="F582" s="159">
        <v>27077</v>
      </c>
      <c r="G582" s="159">
        <v>54154</v>
      </c>
      <c r="H582" s="159">
        <v>81230</v>
      </c>
    </row>
    <row r="583" spans="1:8" hidden="1" x14ac:dyDescent="0.25">
      <c r="A583" s="158">
        <v>1572</v>
      </c>
      <c r="B583" s="156" t="s">
        <v>740</v>
      </c>
      <c r="C583" s="156" t="s">
        <v>328</v>
      </c>
      <c r="D583" s="156" t="s">
        <v>21</v>
      </c>
      <c r="E583" s="156" t="s">
        <v>20</v>
      </c>
      <c r="F583" s="159">
        <v>27619</v>
      </c>
      <c r="G583" s="159">
        <v>55236</v>
      </c>
      <c r="H583" s="159">
        <v>82855</v>
      </c>
    </row>
    <row r="584" spans="1:8" hidden="1" x14ac:dyDescent="0.25">
      <c r="A584" s="158">
        <v>1573</v>
      </c>
      <c r="B584" s="156" t="s">
        <v>740</v>
      </c>
      <c r="C584" s="156" t="s">
        <v>328</v>
      </c>
      <c r="D584" s="156" t="s">
        <v>203</v>
      </c>
      <c r="E584" s="156" t="s">
        <v>15</v>
      </c>
      <c r="F584" s="159">
        <v>28171</v>
      </c>
      <c r="G584" s="159">
        <v>56343</v>
      </c>
      <c r="H584" s="159">
        <v>84514</v>
      </c>
    </row>
    <row r="585" spans="1:8" hidden="1" x14ac:dyDescent="0.25">
      <c r="A585" s="158">
        <v>1574</v>
      </c>
      <c r="B585" s="156" t="s">
        <v>740</v>
      </c>
      <c r="C585" s="156" t="s">
        <v>328</v>
      </c>
      <c r="D585" s="156" t="s">
        <v>203</v>
      </c>
      <c r="E585" s="156" t="s">
        <v>16</v>
      </c>
      <c r="F585" s="159">
        <v>28734</v>
      </c>
      <c r="G585" s="159">
        <v>57469</v>
      </c>
      <c r="H585" s="159">
        <v>86202</v>
      </c>
    </row>
    <row r="586" spans="1:8" hidden="1" x14ac:dyDescent="0.25">
      <c r="A586" s="158">
        <v>1575</v>
      </c>
      <c r="B586" s="156" t="s">
        <v>740</v>
      </c>
      <c r="C586" s="156" t="s">
        <v>328</v>
      </c>
      <c r="D586" s="156" t="s">
        <v>203</v>
      </c>
      <c r="E586" s="156" t="s">
        <v>17</v>
      </c>
      <c r="F586" s="159">
        <v>29309</v>
      </c>
      <c r="G586" s="159">
        <v>58619</v>
      </c>
      <c r="H586" s="159">
        <v>87928</v>
      </c>
    </row>
    <row r="587" spans="1:8" hidden="1" x14ac:dyDescent="0.25">
      <c r="A587" s="158">
        <v>1576</v>
      </c>
      <c r="B587" s="156" t="s">
        <v>740</v>
      </c>
      <c r="C587" s="156" t="s">
        <v>328</v>
      </c>
      <c r="D587" s="156" t="s">
        <v>203</v>
      </c>
      <c r="E587" s="156" t="s">
        <v>18</v>
      </c>
      <c r="F587" s="159">
        <v>29895</v>
      </c>
      <c r="G587" s="159">
        <v>59791</v>
      </c>
      <c r="H587" s="159">
        <v>89686</v>
      </c>
    </row>
    <row r="588" spans="1:8" hidden="1" x14ac:dyDescent="0.25">
      <c r="A588" s="158">
        <v>1577</v>
      </c>
      <c r="B588" s="156" t="s">
        <v>740</v>
      </c>
      <c r="C588" s="156" t="s">
        <v>328</v>
      </c>
      <c r="D588" s="156" t="s">
        <v>203</v>
      </c>
      <c r="E588" s="156" t="s">
        <v>19</v>
      </c>
      <c r="F588" s="159">
        <v>30493</v>
      </c>
      <c r="G588" s="159">
        <v>60986</v>
      </c>
      <c r="H588" s="159">
        <v>91480</v>
      </c>
    </row>
    <row r="589" spans="1:8" hidden="1" x14ac:dyDescent="0.25">
      <c r="A589" s="158">
        <v>1578</v>
      </c>
      <c r="B589" s="156" t="s">
        <v>740</v>
      </c>
      <c r="C589" s="156" t="s">
        <v>328</v>
      </c>
      <c r="D589" s="156" t="s">
        <v>203</v>
      </c>
      <c r="E589" s="156" t="s">
        <v>20</v>
      </c>
      <c r="F589" s="159">
        <v>31109</v>
      </c>
      <c r="G589" s="159">
        <v>62206</v>
      </c>
      <c r="H589" s="159">
        <v>93309</v>
      </c>
    </row>
    <row r="590" spans="1:8" hidden="1" x14ac:dyDescent="0.25">
      <c r="A590" s="158">
        <v>1579</v>
      </c>
      <c r="B590" s="156" t="s">
        <v>740</v>
      </c>
      <c r="C590" s="156" t="s">
        <v>361</v>
      </c>
      <c r="D590" s="156" t="s">
        <v>14</v>
      </c>
      <c r="E590" s="156" t="s">
        <v>15</v>
      </c>
      <c r="F590" s="159">
        <v>15139</v>
      </c>
      <c r="G590" s="159">
        <v>30276</v>
      </c>
      <c r="H590" s="159">
        <v>45415</v>
      </c>
    </row>
    <row r="591" spans="1:8" hidden="1" x14ac:dyDescent="0.25">
      <c r="A591" s="158">
        <v>1580</v>
      </c>
      <c r="B591" s="156" t="s">
        <v>740</v>
      </c>
      <c r="C591" s="156" t="s">
        <v>361</v>
      </c>
      <c r="D591" s="156" t="s">
        <v>14</v>
      </c>
      <c r="E591" s="156" t="s">
        <v>16</v>
      </c>
      <c r="F591" s="159">
        <v>15441</v>
      </c>
      <c r="G591" s="159">
        <v>30882</v>
      </c>
      <c r="H591" s="159">
        <v>46322</v>
      </c>
    </row>
    <row r="592" spans="1:8" hidden="1" x14ac:dyDescent="0.25">
      <c r="A592" s="158">
        <v>1581</v>
      </c>
      <c r="B592" s="156" t="s">
        <v>740</v>
      </c>
      <c r="C592" s="156" t="s">
        <v>361</v>
      </c>
      <c r="D592" s="156" t="s">
        <v>14</v>
      </c>
      <c r="E592" s="156" t="s">
        <v>17</v>
      </c>
      <c r="F592" s="159">
        <v>15749</v>
      </c>
      <c r="G592" s="159">
        <v>31499</v>
      </c>
      <c r="H592" s="159">
        <v>47248</v>
      </c>
    </row>
    <row r="593" spans="1:8" hidden="1" x14ac:dyDescent="0.25">
      <c r="A593" s="158">
        <v>1582</v>
      </c>
      <c r="B593" s="156" t="s">
        <v>740</v>
      </c>
      <c r="C593" s="156" t="s">
        <v>361</v>
      </c>
      <c r="D593" s="156" t="s">
        <v>14</v>
      </c>
      <c r="E593" s="156" t="s">
        <v>18</v>
      </c>
      <c r="F593" s="159">
        <v>16065</v>
      </c>
      <c r="G593" s="159">
        <v>32128</v>
      </c>
      <c r="H593" s="159">
        <v>48193</v>
      </c>
    </row>
    <row r="594" spans="1:8" hidden="1" x14ac:dyDescent="0.25">
      <c r="A594" s="158">
        <v>1583</v>
      </c>
      <c r="B594" s="156" t="s">
        <v>740</v>
      </c>
      <c r="C594" s="156" t="s">
        <v>361</v>
      </c>
      <c r="D594" s="156" t="s">
        <v>14</v>
      </c>
      <c r="E594" s="156" t="s">
        <v>19</v>
      </c>
      <c r="F594" s="159">
        <v>16385</v>
      </c>
      <c r="G594" s="159">
        <v>32771</v>
      </c>
      <c r="H594" s="159">
        <v>49157</v>
      </c>
    </row>
    <row r="595" spans="1:8" hidden="1" x14ac:dyDescent="0.25">
      <c r="A595" s="158">
        <v>1584</v>
      </c>
      <c r="B595" s="156" t="s">
        <v>740</v>
      </c>
      <c r="C595" s="156" t="s">
        <v>361</v>
      </c>
      <c r="D595" s="156" t="s">
        <v>14</v>
      </c>
      <c r="E595" s="156" t="s">
        <v>20</v>
      </c>
      <c r="F595" s="159">
        <v>16714</v>
      </c>
      <c r="G595" s="159">
        <v>33428</v>
      </c>
      <c r="H595" s="159">
        <v>50142</v>
      </c>
    </row>
    <row r="596" spans="1:8" hidden="1" x14ac:dyDescent="0.25">
      <c r="A596" s="158">
        <v>1585</v>
      </c>
      <c r="B596" s="156" t="s">
        <v>740</v>
      </c>
      <c r="C596" s="156" t="s">
        <v>361</v>
      </c>
      <c r="D596" s="156" t="s">
        <v>21</v>
      </c>
      <c r="E596" s="156" t="s">
        <v>15</v>
      </c>
      <c r="F596" s="159">
        <v>17047</v>
      </c>
      <c r="G596" s="159">
        <v>34095</v>
      </c>
      <c r="H596" s="159">
        <v>51142</v>
      </c>
    </row>
    <row r="597" spans="1:8" hidden="1" x14ac:dyDescent="0.25">
      <c r="A597" s="158">
        <v>1586</v>
      </c>
      <c r="B597" s="156" t="s">
        <v>740</v>
      </c>
      <c r="C597" s="156" t="s">
        <v>361</v>
      </c>
      <c r="D597" s="156" t="s">
        <v>21</v>
      </c>
      <c r="E597" s="156" t="s">
        <v>16</v>
      </c>
      <c r="F597" s="159">
        <v>17388</v>
      </c>
      <c r="G597" s="159">
        <v>34777</v>
      </c>
      <c r="H597" s="159">
        <v>52165</v>
      </c>
    </row>
    <row r="598" spans="1:8" hidden="1" x14ac:dyDescent="0.25">
      <c r="A598" s="158">
        <v>1587</v>
      </c>
      <c r="B598" s="156" t="s">
        <v>740</v>
      </c>
      <c r="C598" s="156" t="s">
        <v>361</v>
      </c>
      <c r="D598" s="156" t="s">
        <v>21</v>
      </c>
      <c r="E598" s="156" t="s">
        <v>17</v>
      </c>
      <c r="F598" s="159">
        <v>17737</v>
      </c>
      <c r="G598" s="159">
        <v>35473</v>
      </c>
      <c r="H598" s="159">
        <v>53210</v>
      </c>
    </row>
    <row r="599" spans="1:8" hidden="1" x14ac:dyDescent="0.25">
      <c r="A599" s="158">
        <v>1588</v>
      </c>
      <c r="B599" s="156" t="s">
        <v>740</v>
      </c>
      <c r="C599" s="156" t="s">
        <v>361</v>
      </c>
      <c r="D599" s="156" t="s">
        <v>21</v>
      </c>
      <c r="E599" s="156" t="s">
        <v>18</v>
      </c>
      <c r="F599" s="159">
        <v>18091</v>
      </c>
      <c r="G599" s="159">
        <v>36181</v>
      </c>
      <c r="H599" s="159">
        <v>54273</v>
      </c>
    </row>
    <row r="600" spans="1:8" hidden="1" x14ac:dyDescent="0.25">
      <c r="A600" s="158">
        <v>1589</v>
      </c>
      <c r="B600" s="156" t="s">
        <v>740</v>
      </c>
      <c r="C600" s="156" t="s">
        <v>361</v>
      </c>
      <c r="D600" s="156" t="s">
        <v>21</v>
      </c>
      <c r="E600" s="156" t="s">
        <v>19</v>
      </c>
      <c r="F600" s="159">
        <v>18453</v>
      </c>
      <c r="G600" s="159">
        <v>36906</v>
      </c>
      <c r="H600" s="159">
        <v>55358</v>
      </c>
    </row>
    <row r="601" spans="1:8" hidden="1" x14ac:dyDescent="0.25">
      <c r="A601" s="158">
        <v>1590</v>
      </c>
      <c r="B601" s="156" t="s">
        <v>740</v>
      </c>
      <c r="C601" s="156" t="s">
        <v>361</v>
      </c>
      <c r="D601" s="156" t="s">
        <v>21</v>
      </c>
      <c r="E601" s="156" t="s">
        <v>20</v>
      </c>
      <c r="F601" s="159">
        <v>18822</v>
      </c>
      <c r="G601" s="159">
        <v>37645</v>
      </c>
      <c r="H601" s="159">
        <v>56467</v>
      </c>
    </row>
    <row r="602" spans="1:8" hidden="1" x14ac:dyDescent="0.25">
      <c r="A602" s="158">
        <v>1591</v>
      </c>
      <c r="B602" s="156" t="s">
        <v>740</v>
      </c>
      <c r="C602" s="156" t="s">
        <v>361</v>
      </c>
      <c r="D602" s="156" t="s">
        <v>203</v>
      </c>
      <c r="E602" s="156" t="s">
        <v>15</v>
      </c>
      <c r="F602" s="159">
        <v>19198</v>
      </c>
      <c r="G602" s="159">
        <v>38397</v>
      </c>
      <c r="H602" s="159">
        <v>57595</v>
      </c>
    </row>
    <row r="603" spans="1:8" hidden="1" x14ac:dyDescent="0.25">
      <c r="A603" s="158">
        <v>1592</v>
      </c>
      <c r="B603" s="156" t="s">
        <v>740</v>
      </c>
      <c r="C603" s="156" t="s">
        <v>361</v>
      </c>
      <c r="D603" s="156" t="s">
        <v>203</v>
      </c>
      <c r="E603" s="156" t="s">
        <v>16</v>
      </c>
      <c r="F603" s="159">
        <v>19583</v>
      </c>
      <c r="G603" s="159">
        <v>39165</v>
      </c>
      <c r="H603" s="159">
        <v>58749</v>
      </c>
    </row>
    <row r="604" spans="1:8" hidden="1" x14ac:dyDescent="0.25">
      <c r="A604" s="158">
        <v>1593</v>
      </c>
      <c r="B604" s="156" t="s">
        <v>740</v>
      </c>
      <c r="C604" s="156" t="s">
        <v>361</v>
      </c>
      <c r="D604" s="156" t="s">
        <v>203</v>
      </c>
      <c r="E604" s="156" t="s">
        <v>17</v>
      </c>
      <c r="F604" s="159">
        <v>19974</v>
      </c>
      <c r="G604" s="159">
        <v>39948</v>
      </c>
      <c r="H604" s="159">
        <v>59923</v>
      </c>
    </row>
    <row r="605" spans="1:8" hidden="1" x14ac:dyDescent="0.25">
      <c r="A605" s="158">
        <v>1594</v>
      </c>
      <c r="B605" s="156" t="s">
        <v>740</v>
      </c>
      <c r="C605" s="156" t="s">
        <v>361</v>
      </c>
      <c r="D605" s="156" t="s">
        <v>203</v>
      </c>
      <c r="E605" s="156" t="s">
        <v>18</v>
      </c>
      <c r="F605" s="159">
        <v>20373</v>
      </c>
      <c r="G605" s="159">
        <v>40748</v>
      </c>
      <c r="H605" s="159">
        <v>61121</v>
      </c>
    </row>
    <row r="606" spans="1:8" hidden="1" x14ac:dyDescent="0.25">
      <c r="A606" s="158">
        <v>1595</v>
      </c>
      <c r="B606" s="156" t="s">
        <v>740</v>
      </c>
      <c r="C606" s="156" t="s">
        <v>361</v>
      </c>
      <c r="D606" s="156" t="s">
        <v>203</v>
      </c>
      <c r="E606" s="156" t="s">
        <v>19</v>
      </c>
      <c r="F606" s="159">
        <v>20780</v>
      </c>
      <c r="G606" s="159">
        <v>41561</v>
      </c>
      <c r="H606" s="159">
        <v>62343</v>
      </c>
    </row>
    <row r="607" spans="1:8" hidden="1" x14ac:dyDescent="0.25">
      <c r="A607" s="158">
        <v>1596</v>
      </c>
      <c r="B607" s="156" t="s">
        <v>740</v>
      </c>
      <c r="C607" s="156" t="s">
        <v>361</v>
      </c>
      <c r="D607" s="156" t="s">
        <v>203</v>
      </c>
      <c r="E607" s="156" t="s">
        <v>20</v>
      </c>
      <c r="F607" s="159">
        <v>21196</v>
      </c>
      <c r="G607" s="159">
        <v>42393</v>
      </c>
      <c r="H607" s="159">
        <v>63590</v>
      </c>
    </row>
    <row r="608" spans="1:8" hidden="1" x14ac:dyDescent="0.25">
      <c r="A608" s="158">
        <v>1597</v>
      </c>
      <c r="B608" s="156" t="s">
        <v>740</v>
      </c>
      <c r="C608" s="156" t="s">
        <v>262</v>
      </c>
      <c r="D608" s="156" t="s">
        <v>14</v>
      </c>
      <c r="E608" s="156" t="s">
        <v>15</v>
      </c>
      <c r="F608" s="159">
        <v>12821</v>
      </c>
      <c r="G608" s="159">
        <v>25643</v>
      </c>
      <c r="H608" s="159">
        <v>38465</v>
      </c>
    </row>
    <row r="609" spans="1:8" hidden="1" x14ac:dyDescent="0.25">
      <c r="A609" s="158">
        <v>1598</v>
      </c>
      <c r="B609" s="156" t="s">
        <v>740</v>
      </c>
      <c r="C609" s="156" t="s">
        <v>262</v>
      </c>
      <c r="D609" s="156" t="s">
        <v>14</v>
      </c>
      <c r="E609" s="156" t="s">
        <v>16</v>
      </c>
      <c r="F609" s="159">
        <v>13078</v>
      </c>
      <c r="G609" s="159">
        <v>26155</v>
      </c>
      <c r="H609" s="159">
        <v>39233</v>
      </c>
    </row>
    <row r="610" spans="1:8" hidden="1" x14ac:dyDescent="0.25">
      <c r="A610" s="158">
        <v>1599</v>
      </c>
      <c r="B610" s="156" t="s">
        <v>740</v>
      </c>
      <c r="C610" s="156" t="s">
        <v>262</v>
      </c>
      <c r="D610" s="156" t="s">
        <v>14</v>
      </c>
      <c r="E610" s="156" t="s">
        <v>17</v>
      </c>
      <c r="F610" s="159">
        <v>13339</v>
      </c>
      <c r="G610" s="159">
        <v>26680</v>
      </c>
      <c r="H610" s="159">
        <v>40019</v>
      </c>
    </row>
    <row r="611" spans="1:8" hidden="1" x14ac:dyDescent="0.25">
      <c r="A611" s="158">
        <v>1600</v>
      </c>
      <c r="B611" s="156" t="s">
        <v>740</v>
      </c>
      <c r="C611" s="156" t="s">
        <v>262</v>
      </c>
      <c r="D611" s="156" t="s">
        <v>14</v>
      </c>
      <c r="E611" s="156" t="s">
        <v>18</v>
      </c>
      <c r="F611" s="159">
        <v>13607</v>
      </c>
      <c r="G611" s="159">
        <v>27213</v>
      </c>
      <c r="H611" s="159">
        <v>40820</v>
      </c>
    </row>
    <row r="612" spans="1:8" hidden="1" x14ac:dyDescent="0.25">
      <c r="A612" s="158">
        <v>1601</v>
      </c>
      <c r="B612" s="156" t="s">
        <v>740</v>
      </c>
      <c r="C612" s="156" t="s">
        <v>262</v>
      </c>
      <c r="D612" s="156" t="s">
        <v>14</v>
      </c>
      <c r="E612" s="156" t="s">
        <v>19</v>
      </c>
      <c r="F612" s="159">
        <v>13878</v>
      </c>
      <c r="G612" s="159">
        <v>27756</v>
      </c>
      <c r="H612" s="159">
        <v>41634</v>
      </c>
    </row>
    <row r="613" spans="1:8" hidden="1" x14ac:dyDescent="0.25">
      <c r="A613" s="158">
        <v>1602</v>
      </c>
      <c r="B613" s="156" t="s">
        <v>740</v>
      </c>
      <c r="C613" s="156" t="s">
        <v>262</v>
      </c>
      <c r="D613" s="156" t="s">
        <v>14</v>
      </c>
      <c r="E613" s="156" t="s">
        <v>20</v>
      </c>
      <c r="F613" s="159">
        <v>14156</v>
      </c>
      <c r="G613" s="159">
        <v>28313</v>
      </c>
      <c r="H613" s="159">
        <v>42469</v>
      </c>
    </row>
    <row r="614" spans="1:8" hidden="1" x14ac:dyDescent="0.25">
      <c r="A614" s="158">
        <v>1603</v>
      </c>
      <c r="B614" s="156" t="s">
        <v>740</v>
      </c>
      <c r="C614" s="156" t="s">
        <v>262</v>
      </c>
      <c r="D614" s="156" t="s">
        <v>21</v>
      </c>
      <c r="E614" s="156" t="s">
        <v>15</v>
      </c>
      <c r="F614" s="159">
        <v>14439</v>
      </c>
      <c r="G614" s="159">
        <v>28878</v>
      </c>
      <c r="H614" s="159">
        <v>43318</v>
      </c>
    </row>
    <row r="615" spans="1:8" hidden="1" x14ac:dyDescent="0.25">
      <c r="A615" s="158">
        <v>1604</v>
      </c>
      <c r="B615" s="156" t="s">
        <v>740</v>
      </c>
      <c r="C615" s="156" t="s">
        <v>262</v>
      </c>
      <c r="D615" s="156" t="s">
        <v>21</v>
      </c>
      <c r="E615" s="156" t="s">
        <v>16</v>
      </c>
      <c r="F615" s="159">
        <v>14728</v>
      </c>
      <c r="G615" s="159">
        <v>29456</v>
      </c>
      <c r="H615" s="159">
        <v>44184</v>
      </c>
    </row>
    <row r="616" spans="1:8" hidden="1" x14ac:dyDescent="0.25">
      <c r="A616" s="158">
        <v>1605</v>
      </c>
      <c r="B616" s="156" t="s">
        <v>740</v>
      </c>
      <c r="C616" s="156" t="s">
        <v>262</v>
      </c>
      <c r="D616" s="156" t="s">
        <v>21</v>
      </c>
      <c r="E616" s="156" t="s">
        <v>17</v>
      </c>
      <c r="F616" s="159">
        <v>15022</v>
      </c>
      <c r="G616" s="159">
        <v>30043</v>
      </c>
      <c r="H616" s="159">
        <v>45065</v>
      </c>
    </row>
    <row r="617" spans="1:8" hidden="1" x14ac:dyDescent="0.25">
      <c r="A617" s="158">
        <v>1606</v>
      </c>
      <c r="B617" s="156" t="s">
        <v>740</v>
      </c>
      <c r="C617" s="156" t="s">
        <v>262</v>
      </c>
      <c r="D617" s="156" t="s">
        <v>21</v>
      </c>
      <c r="E617" s="156" t="s">
        <v>18</v>
      </c>
      <c r="F617" s="159">
        <v>15323</v>
      </c>
      <c r="G617" s="159">
        <v>30646</v>
      </c>
      <c r="H617" s="159">
        <v>45969</v>
      </c>
    </row>
    <row r="618" spans="1:8" hidden="1" x14ac:dyDescent="0.25">
      <c r="A618" s="158">
        <v>1607</v>
      </c>
      <c r="B618" s="156" t="s">
        <v>740</v>
      </c>
      <c r="C618" s="156" t="s">
        <v>262</v>
      </c>
      <c r="D618" s="156" t="s">
        <v>21</v>
      </c>
      <c r="E618" s="156" t="s">
        <v>19</v>
      </c>
      <c r="F618" s="159">
        <v>15630</v>
      </c>
      <c r="G618" s="159">
        <v>31259</v>
      </c>
      <c r="H618" s="159">
        <v>46889</v>
      </c>
    </row>
    <row r="619" spans="1:8" hidden="1" x14ac:dyDescent="0.25">
      <c r="A619" s="158">
        <v>1608</v>
      </c>
      <c r="B619" s="156" t="s">
        <v>740</v>
      </c>
      <c r="C619" s="156" t="s">
        <v>262</v>
      </c>
      <c r="D619" s="156" t="s">
        <v>21</v>
      </c>
      <c r="E619" s="156" t="s">
        <v>20</v>
      </c>
      <c r="F619" s="159">
        <v>15942</v>
      </c>
      <c r="G619" s="159">
        <v>31883</v>
      </c>
      <c r="H619" s="159">
        <v>47826</v>
      </c>
    </row>
    <row r="620" spans="1:8" hidden="1" x14ac:dyDescent="0.25">
      <c r="A620" s="158">
        <v>1609</v>
      </c>
      <c r="B620" s="156" t="s">
        <v>740</v>
      </c>
      <c r="C620" s="156" t="s">
        <v>262</v>
      </c>
      <c r="D620" s="156" t="s">
        <v>203</v>
      </c>
      <c r="E620" s="156" t="s">
        <v>15</v>
      </c>
      <c r="F620" s="159">
        <v>16261</v>
      </c>
      <c r="G620" s="159">
        <v>32522</v>
      </c>
      <c r="H620" s="159">
        <v>48783</v>
      </c>
    </row>
    <row r="621" spans="1:8" hidden="1" x14ac:dyDescent="0.25">
      <c r="A621" s="158">
        <v>1610</v>
      </c>
      <c r="B621" s="156" t="s">
        <v>740</v>
      </c>
      <c r="C621" s="156" t="s">
        <v>262</v>
      </c>
      <c r="D621" s="156" t="s">
        <v>203</v>
      </c>
      <c r="E621" s="156" t="s">
        <v>16</v>
      </c>
      <c r="F621" s="159">
        <v>16586</v>
      </c>
      <c r="G621" s="159">
        <v>33172</v>
      </c>
      <c r="H621" s="159">
        <v>49758</v>
      </c>
    </row>
    <row r="622" spans="1:8" hidden="1" x14ac:dyDescent="0.25">
      <c r="A622" s="158">
        <v>1611</v>
      </c>
      <c r="B622" s="156" t="s">
        <v>740</v>
      </c>
      <c r="C622" s="156" t="s">
        <v>262</v>
      </c>
      <c r="D622" s="156" t="s">
        <v>203</v>
      </c>
      <c r="E622" s="156" t="s">
        <v>17</v>
      </c>
      <c r="F622" s="159">
        <v>16917</v>
      </c>
      <c r="G622" s="159">
        <v>33836</v>
      </c>
      <c r="H622" s="159">
        <v>50754</v>
      </c>
    </row>
    <row r="623" spans="1:8" hidden="1" x14ac:dyDescent="0.25">
      <c r="A623" s="158">
        <v>1612</v>
      </c>
      <c r="B623" s="156" t="s">
        <v>740</v>
      </c>
      <c r="C623" s="156" t="s">
        <v>262</v>
      </c>
      <c r="D623" s="156" t="s">
        <v>203</v>
      </c>
      <c r="E623" s="156" t="s">
        <v>18</v>
      </c>
      <c r="F623" s="159">
        <v>17255</v>
      </c>
      <c r="G623" s="159">
        <v>34511</v>
      </c>
      <c r="H623" s="159">
        <v>51766</v>
      </c>
    </row>
    <row r="624" spans="1:8" hidden="1" x14ac:dyDescent="0.25">
      <c r="A624" s="158">
        <v>1613</v>
      </c>
      <c r="B624" s="156" t="s">
        <v>740</v>
      </c>
      <c r="C624" s="156" t="s">
        <v>262</v>
      </c>
      <c r="D624" s="156" t="s">
        <v>203</v>
      </c>
      <c r="E624" s="156" t="s">
        <v>19</v>
      </c>
      <c r="F624" s="159">
        <v>17601</v>
      </c>
      <c r="G624" s="159">
        <v>35201</v>
      </c>
      <c r="H624" s="159">
        <v>52802</v>
      </c>
    </row>
    <row r="625" spans="1:8" hidden="1" x14ac:dyDescent="0.25">
      <c r="A625" s="158">
        <v>1614</v>
      </c>
      <c r="B625" s="156" t="s">
        <v>740</v>
      </c>
      <c r="C625" s="156" t="s">
        <v>262</v>
      </c>
      <c r="D625" s="156" t="s">
        <v>203</v>
      </c>
      <c r="E625" s="156" t="s">
        <v>20</v>
      </c>
      <c r="F625" s="159">
        <v>17952</v>
      </c>
      <c r="G625" s="159">
        <v>35906</v>
      </c>
      <c r="H625" s="159">
        <v>53857</v>
      </c>
    </row>
    <row r="626" spans="1:8" hidden="1" x14ac:dyDescent="0.25">
      <c r="A626" s="158">
        <v>1615</v>
      </c>
      <c r="B626" s="156" t="s">
        <v>740</v>
      </c>
      <c r="C626" s="156" t="s">
        <v>359</v>
      </c>
      <c r="D626" s="156" t="s">
        <v>14</v>
      </c>
      <c r="E626" s="156" t="s">
        <v>15</v>
      </c>
      <c r="F626" s="159">
        <v>12821</v>
      </c>
      <c r="G626" s="159">
        <v>25643</v>
      </c>
      <c r="H626" s="159">
        <v>38465</v>
      </c>
    </row>
    <row r="627" spans="1:8" hidden="1" x14ac:dyDescent="0.25">
      <c r="A627" s="158">
        <v>1616</v>
      </c>
      <c r="B627" s="156" t="s">
        <v>740</v>
      </c>
      <c r="C627" s="156" t="s">
        <v>359</v>
      </c>
      <c r="D627" s="156" t="s">
        <v>14</v>
      </c>
      <c r="E627" s="156" t="s">
        <v>16</v>
      </c>
      <c r="F627" s="159">
        <v>13078</v>
      </c>
      <c r="G627" s="159">
        <v>26155</v>
      </c>
      <c r="H627" s="159">
        <v>39233</v>
      </c>
    </row>
    <row r="628" spans="1:8" hidden="1" x14ac:dyDescent="0.25">
      <c r="A628" s="158">
        <v>1617</v>
      </c>
      <c r="B628" s="156" t="s">
        <v>740</v>
      </c>
      <c r="C628" s="156" t="s">
        <v>359</v>
      </c>
      <c r="D628" s="156" t="s">
        <v>14</v>
      </c>
      <c r="E628" s="156" t="s">
        <v>17</v>
      </c>
      <c r="F628" s="159">
        <v>13339</v>
      </c>
      <c r="G628" s="159">
        <v>26680</v>
      </c>
      <c r="H628" s="159">
        <v>40019</v>
      </c>
    </row>
    <row r="629" spans="1:8" hidden="1" x14ac:dyDescent="0.25">
      <c r="A629" s="158">
        <v>1618</v>
      </c>
      <c r="B629" s="156" t="s">
        <v>740</v>
      </c>
      <c r="C629" s="156" t="s">
        <v>359</v>
      </c>
      <c r="D629" s="156" t="s">
        <v>14</v>
      </c>
      <c r="E629" s="156" t="s">
        <v>18</v>
      </c>
      <c r="F629" s="159">
        <v>13607</v>
      </c>
      <c r="G629" s="159">
        <v>27213</v>
      </c>
      <c r="H629" s="159">
        <v>40820</v>
      </c>
    </row>
    <row r="630" spans="1:8" hidden="1" x14ac:dyDescent="0.25">
      <c r="A630" s="158">
        <v>1619</v>
      </c>
      <c r="B630" s="156" t="s">
        <v>740</v>
      </c>
      <c r="C630" s="156" t="s">
        <v>359</v>
      </c>
      <c r="D630" s="156" t="s">
        <v>14</v>
      </c>
      <c r="E630" s="156" t="s">
        <v>19</v>
      </c>
      <c r="F630" s="159">
        <v>13878</v>
      </c>
      <c r="G630" s="159">
        <v>27756</v>
      </c>
      <c r="H630" s="159">
        <v>41634</v>
      </c>
    </row>
    <row r="631" spans="1:8" hidden="1" x14ac:dyDescent="0.25">
      <c r="A631" s="158">
        <v>1620</v>
      </c>
      <c r="B631" s="156" t="s">
        <v>740</v>
      </c>
      <c r="C631" s="156" t="s">
        <v>359</v>
      </c>
      <c r="D631" s="156" t="s">
        <v>14</v>
      </c>
      <c r="E631" s="156" t="s">
        <v>20</v>
      </c>
      <c r="F631" s="159">
        <v>14156</v>
      </c>
      <c r="G631" s="159">
        <v>28313</v>
      </c>
      <c r="H631" s="159">
        <v>42469</v>
      </c>
    </row>
    <row r="632" spans="1:8" hidden="1" x14ac:dyDescent="0.25">
      <c r="A632" s="158">
        <v>1621</v>
      </c>
      <c r="B632" s="156" t="s">
        <v>740</v>
      </c>
      <c r="C632" s="156" t="s">
        <v>359</v>
      </c>
      <c r="D632" s="156" t="s">
        <v>21</v>
      </c>
      <c r="E632" s="156" t="s">
        <v>15</v>
      </c>
      <c r="F632" s="159">
        <v>14439</v>
      </c>
      <c r="G632" s="159">
        <v>28878</v>
      </c>
      <c r="H632" s="159">
        <v>43318</v>
      </c>
    </row>
    <row r="633" spans="1:8" hidden="1" x14ac:dyDescent="0.25">
      <c r="A633" s="158">
        <v>1622</v>
      </c>
      <c r="B633" s="156" t="s">
        <v>740</v>
      </c>
      <c r="C633" s="156" t="s">
        <v>359</v>
      </c>
      <c r="D633" s="156" t="s">
        <v>21</v>
      </c>
      <c r="E633" s="156" t="s">
        <v>16</v>
      </c>
      <c r="F633" s="159">
        <v>14728</v>
      </c>
      <c r="G633" s="159">
        <v>29456</v>
      </c>
      <c r="H633" s="159">
        <v>44184</v>
      </c>
    </row>
    <row r="634" spans="1:8" hidden="1" x14ac:dyDescent="0.25">
      <c r="A634" s="158">
        <v>1623</v>
      </c>
      <c r="B634" s="156" t="s">
        <v>740</v>
      </c>
      <c r="C634" s="156" t="s">
        <v>359</v>
      </c>
      <c r="D634" s="156" t="s">
        <v>21</v>
      </c>
      <c r="E634" s="156" t="s">
        <v>17</v>
      </c>
      <c r="F634" s="159">
        <v>15022</v>
      </c>
      <c r="G634" s="159">
        <v>30043</v>
      </c>
      <c r="H634" s="159">
        <v>45065</v>
      </c>
    </row>
    <row r="635" spans="1:8" hidden="1" x14ac:dyDescent="0.25">
      <c r="A635" s="158">
        <v>1624</v>
      </c>
      <c r="B635" s="156" t="s">
        <v>740</v>
      </c>
      <c r="C635" s="156" t="s">
        <v>359</v>
      </c>
      <c r="D635" s="156" t="s">
        <v>21</v>
      </c>
      <c r="E635" s="156" t="s">
        <v>18</v>
      </c>
      <c r="F635" s="159">
        <v>15323</v>
      </c>
      <c r="G635" s="159">
        <v>30646</v>
      </c>
      <c r="H635" s="159">
        <v>45969</v>
      </c>
    </row>
    <row r="636" spans="1:8" hidden="1" x14ac:dyDescent="0.25">
      <c r="A636" s="158">
        <v>1625</v>
      </c>
      <c r="B636" s="156" t="s">
        <v>740</v>
      </c>
      <c r="C636" s="156" t="s">
        <v>359</v>
      </c>
      <c r="D636" s="156" t="s">
        <v>21</v>
      </c>
      <c r="E636" s="156" t="s">
        <v>19</v>
      </c>
      <c r="F636" s="159">
        <v>15630</v>
      </c>
      <c r="G636" s="159">
        <v>31259</v>
      </c>
      <c r="H636" s="159">
        <v>46889</v>
      </c>
    </row>
    <row r="637" spans="1:8" hidden="1" x14ac:dyDescent="0.25">
      <c r="A637" s="158">
        <v>1626</v>
      </c>
      <c r="B637" s="156" t="s">
        <v>740</v>
      </c>
      <c r="C637" s="156" t="s">
        <v>359</v>
      </c>
      <c r="D637" s="156" t="s">
        <v>21</v>
      </c>
      <c r="E637" s="156" t="s">
        <v>20</v>
      </c>
      <c r="F637" s="159">
        <v>15942</v>
      </c>
      <c r="G637" s="159">
        <v>31883</v>
      </c>
      <c r="H637" s="159">
        <v>47826</v>
      </c>
    </row>
    <row r="638" spans="1:8" hidden="1" x14ac:dyDescent="0.25">
      <c r="A638" s="158">
        <v>1627</v>
      </c>
      <c r="B638" s="156" t="s">
        <v>740</v>
      </c>
      <c r="C638" s="156" t="s">
        <v>359</v>
      </c>
      <c r="D638" s="156" t="s">
        <v>203</v>
      </c>
      <c r="E638" s="156" t="s">
        <v>15</v>
      </c>
      <c r="F638" s="159">
        <v>16261</v>
      </c>
      <c r="G638" s="159">
        <v>32522</v>
      </c>
      <c r="H638" s="159">
        <v>48783</v>
      </c>
    </row>
    <row r="639" spans="1:8" hidden="1" x14ac:dyDescent="0.25">
      <c r="A639" s="158">
        <v>1628</v>
      </c>
      <c r="B639" s="156" t="s">
        <v>740</v>
      </c>
      <c r="C639" s="156" t="s">
        <v>359</v>
      </c>
      <c r="D639" s="156" t="s">
        <v>203</v>
      </c>
      <c r="E639" s="156" t="s">
        <v>16</v>
      </c>
      <c r="F639" s="159">
        <v>16586</v>
      </c>
      <c r="G639" s="159">
        <v>33172</v>
      </c>
      <c r="H639" s="159">
        <v>49758</v>
      </c>
    </row>
    <row r="640" spans="1:8" hidden="1" x14ac:dyDescent="0.25">
      <c r="A640" s="158">
        <v>1629</v>
      </c>
      <c r="B640" s="156" t="s">
        <v>740</v>
      </c>
      <c r="C640" s="156" t="s">
        <v>359</v>
      </c>
      <c r="D640" s="156" t="s">
        <v>203</v>
      </c>
      <c r="E640" s="156" t="s">
        <v>17</v>
      </c>
      <c r="F640" s="159">
        <v>16917</v>
      </c>
      <c r="G640" s="159">
        <v>33836</v>
      </c>
      <c r="H640" s="159">
        <v>50754</v>
      </c>
    </row>
    <row r="641" spans="1:8" hidden="1" x14ac:dyDescent="0.25">
      <c r="A641" s="158">
        <v>1630</v>
      </c>
      <c r="B641" s="156" t="s">
        <v>740</v>
      </c>
      <c r="C641" s="156" t="s">
        <v>359</v>
      </c>
      <c r="D641" s="156" t="s">
        <v>203</v>
      </c>
      <c r="E641" s="156" t="s">
        <v>18</v>
      </c>
      <c r="F641" s="159">
        <v>17255</v>
      </c>
      <c r="G641" s="159">
        <v>34511</v>
      </c>
      <c r="H641" s="159">
        <v>51766</v>
      </c>
    </row>
    <row r="642" spans="1:8" hidden="1" x14ac:dyDescent="0.25">
      <c r="A642" s="158">
        <v>1631</v>
      </c>
      <c r="B642" s="156" t="s">
        <v>740</v>
      </c>
      <c r="C642" s="156" t="s">
        <v>359</v>
      </c>
      <c r="D642" s="156" t="s">
        <v>203</v>
      </c>
      <c r="E642" s="156" t="s">
        <v>19</v>
      </c>
      <c r="F642" s="159">
        <v>17601</v>
      </c>
      <c r="G642" s="159">
        <v>35201</v>
      </c>
      <c r="H642" s="159">
        <v>52802</v>
      </c>
    </row>
    <row r="643" spans="1:8" hidden="1" x14ac:dyDescent="0.25">
      <c r="A643" s="158">
        <v>1632</v>
      </c>
      <c r="B643" s="156" t="s">
        <v>740</v>
      </c>
      <c r="C643" s="156" t="s">
        <v>359</v>
      </c>
      <c r="D643" s="156" t="s">
        <v>203</v>
      </c>
      <c r="E643" s="156" t="s">
        <v>20</v>
      </c>
      <c r="F643" s="159">
        <v>17952</v>
      </c>
      <c r="G643" s="159">
        <v>35906</v>
      </c>
      <c r="H643" s="159">
        <v>53857</v>
      </c>
    </row>
    <row r="644" spans="1:8" hidden="1" x14ac:dyDescent="0.25">
      <c r="A644" s="158">
        <v>1633</v>
      </c>
      <c r="B644" s="156" t="s">
        <v>740</v>
      </c>
      <c r="C644" s="156" t="s">
        <v>360</v>
      </c>
      <c r="D644" s="156" t="s">
        <v>14</v>
      </c>
      <c r="E644" s="156" t="s">
        <v>15</v>
      </c>
      <c r="F644" s="159">
        <v>12821</v>
      </c>
      <c r="G644" s="159">
        <v>25643</v>
      </c>
      <c r="H644" s="159">
        <v>38465</v>
      </c>
    </row>
    <row r="645" spans="1:8" hidden="1" x14ac:dyDescent="0.25">
      <c r="A645" s="158">
        <v>1634</v>
      </c>
      <c r="B645" s="156" t="s">
        <v>740</v>
      </c>
      <c r="C645" s="156" t="s">
        <v>360</v>
      </c>
      <c r="D645" s="156" t="s">
        <v>14</v>
      </c>
      <c r="E645" s="156" t="s">
        <v>16</v>
      </c>
      <c r="F645" s="159">
        <v>13078</v>
      </c>
      <c r="G645" s="159">
        <v>26155</v>
      </c>
      <c r="H645" s="159">
        <v>39233</v>
      </c>
    </row>
    <row r="646" spans="1:8" hidden="1" x14ac:dyDescent="0.25">
      <c r="A646" s="158">
        <v>1635</v>
      </c>
      <c r="B646" s="156" t="s">
        <v>740</v>
      </c>
      <c r="C646" s="156" t="s">
        <v>360</v>
      </c>
      <c r="D646" s="156" t="s">
        <v>14</v>
      </c>
      <c r="E646" s="156" t="s">
        <v>17</v>
      </c>
      <c r="F646" s="159">
        <v>13339</v>
      </c>
      <c r="G646" s="159">
        <v>26680</v>
      </c>
      <c r="H646" s="159">
        <v>40019</v>
      </c>
    </row>
    <row r="647" spans="1:8" hidden="1" x14ac:dyDescent="0.25">
      <c r="A647" s="158">
        <v>1636</v>
      </c>
      <c r="B647" s="156" t="s">
        <v>740</v>
      </c>
      <c r="C647" s="156" t="s">
        <v>360</v>
      </c>
      <c r="D647" s="156" t="s">
        <v>14</v>
      </c>
      <c r="E647" s="156" t="s">
        <v>18</v>
      </c>
      <c r="F647" s="159">
        <v>13607</v>
      </c>
      <c r="G647" s="159">
        <v>27213</v>
      </c>
      <c r="H647" s="159">
        <v>40820</v>
      </c>
    </row>
    <row r="648" spans="1:8" hidden="1" x14ac:dyDescent="0.25">
      <c r="A648" s="158">
        <v>1637</v>
      </c>
      <c r="B648" s="156" t="s">
        <v>740</v>
      </c>
      <c r="C648" s="156" t="s">
        <v>360</v>
      </c>
      <c r="D648" s="156" t="s">
        <v>14</v>
      </c>
      <c r="E648" s="156" t="s">
        <v>19</v>
      </c>
      <c r="F648" s="159">
        <v>13878</v>
      </c>
      <c r="G648" s="159">
        <v>27756</v>
      </c>
      <c r="H648" s="159">
        <v>41634</v>
      </c>
    </row>
    <row r="649" spans="1:8" hidden="1" x14ac:dyDescent="0.25">
      <c r="A649" s="158">
        <v>1638</v>
      </c>
      <c r="B649" s="156" t="s">
        <v>740</v>
      </c>
      <c r="C649" s="156" t="s">
        <v>360</v>
      </c>
      <c r="D649" s="156" t="s">
        <v>14</v>
      </c>
      <c r="E649" s="156" t="s">
        <v>20</v>
      </c>
      <c r="F649" s="159">
        <v>14156</v>
      </c>
      <c r="G649" s="159">
        <v>28313</v>
      </c>
      <c r="H649" s="159">
        <v>42469</v>
      </c>
    </row>
    <row r="650" spans="1:8" hidden="1" x14ac:dyDescent="0.25">
      <c r="A650" s="158">
        <v>1639</v>
      </c>
      <c r="B650" s="156" t="s">
        <v>740</v>
      </c>
      <c r="C650" s="156" t="s">
        <v>360</v>
      </c>
      <c r="D650" s="156" t="s">
        <v>21</v>
      </c>
      <c r="E650" s="156" t="s">
        <v>15</v>
      </c>
      <c r="F650" s="159">
        <v>14439</v>
      </c>
      <c r="G650" s="159">
        <v>28878</v>
      </c>
      <c r="H650" s="159">
        <v>43318</v>
      </c>
    </row>
    <row r="651" spans="1:8" hidden="1" x14ac:dyDescent="0.25">
      <c r="A651" s="158">
        <v>1640</v>
      </c>
      <c r="B651" s="156" t="s">
        <v>740</v>
      </c>
      <c r="C651" s="156" t="s">
        <v>360</v>
      </c>
      <c r="D651" s="156" t="s">
        <v>21</v>
      </c>
      <c r="E651" s="156" t="s">
        <v>16</v>
      </c>
      <c r="F651" s="159">
        <v>14728</v>
      </c>
      <c r="G651" s="159">
        <v>29456</v>
      </c>
      <c r="H651" s="159">
        <v>44184</v>
      </c>
    </row>
    <row r="652" spans="1:8" hidden="1" x14ac:dyDescent="0.25">
      <c r="A652" s="158">
        <v>1641</v>
      </c>
      <c r="B652" s="156" t="s">
        <v>740</v>
      </c>
      <c r="C652" s="156" t="s">
        <v>360</v>
      </c>
      <c r="D652" s="156" t="s">
        <v>21</v>
      </c>
      <c r="E652" s="156" t="s">
        <v>17</v>
      </c>
      <c r="F652" s="159">
        <v>15022</v>
      </c>
      <c r="G652" s="159">
        <v>30043</v>
      </c>
      <c r="H652" s="159">
        <v>45065</v>
      </c>
    </row>
    <row r="653" spans="1:8" hidden="1" x14ac:dyDescent="0.25">
      <c r="A653" s="158">
        <v>1642</v>
      </c>
      <c r="B653" s="156" t="s">
        <v>740</v>
      </c>
      <c r="C653" s="156" t="s">
        <v>360</v>
      </c>
      <c r="D653" s="156" t="s">
        <v>21</v>
      </c>
      <c r="E653" s="156" t="s">
        <v>18</v>
      </c>
      <c r="F653" s="159">
        <v>15323</v>
      </c>
      <c r="G653" s="159">
        <v>30646</v>
      </c>
      <c r="H653" s="159">
        <v>45969</v>
      </c>
    </row>
    <row r="654" spans="1:8" hidden="1" x14ac:dyDescent="0.25">
      <c r="A654" s="158">
        <v>1643</v>
      </c>
      <c r="B654" s="156" t="s">
        <v>740</v>
      </c>
      <c r="C654" s="156" t="s">
        <v>360</v>
      </c>
      <c r="D654" s="156" t="s">
        <v>21</v>
      </c>
      <c r="E654" s="156" t="s">
        <v>19</v>
      </c>
      <c r="F654" s="159">
        <v>15630</v>
      </c>
      <c r="G654" s="159">
        <v>31259</v>
      </c>
      <c r="H654" s="159">
        <v>46889</v>
      </c>
    </row>
    <row r="655" spans="1:8" hidden="1" x14ac:dyDescent="0.25">
      <c r="A655" s="158">
        <v>1644</v>
      </c>
      <c r="B655" s="156" t="s">
        <v>740</v>
      </c>
      <c r="C655" s="156" t="s">
        <v>360</v>
      </c>
      <c r="D655" s="156" t="s">
        <v>21</v>
      </c>
      <c r="E655" s="156" t="s">
        <v>20</v>
      </c>
      <c r="F655" s="159">
        <v>15942</v>
      </c>
      <c r="G655" s="159">
        <v>31883</v>
      </c>
      <c r="H655" s="159">
        <v>47826</v>
      </c>
    </row>
    <row r="656" spans="1:8" hidden="1" x14ac:dyDescent="0.25">
      <c r="A656" s="158">
        <v>1645</v>
      </c>
      <c r="B656" s="156" t="s">
        <v>740</v>
      </c>
      <c r="C656" s="156" t="s">
        <v>360</v>
      </c>
      <c r="D656" s="156" t="s">
        <v>203</v>
      </c>
      <c r="E656" s="156" t="s">
        <v>15</v>
      </c>
      <c r="F656" s="159">
        <v>16261</v>
      </c>
      <c r="G656" s="159">
        <v>32522</v>
      </c>
      <c r="H656" s="159">
        <v>48783</v>
      </c>
    </row>
    <row r="657" spans="1:8" hidden="1" x14ac:dyDescent="0.25">
      <c r="A657" s="158">
        <v>1646</v>
      </c>
      <c r="B657" s="156" t="s">
        <v>740</v>
      </c>
      <c r="C657" s="156" t="s">
        <v>360</v>
      </c>
      <c r="D657" s="156" t="s">
        <v>203</v>
      </c>
      <c r="E657" s="156" t="s">
        <v>16</v>
      </c>
      <c r="F657" s="159">
        <v>16586</v>
      </c>
      <c r="G657" s="159">
        <v>33172</v>
      </c>
      <c r="H657" s="159">
        <v>49758</v>
      </c>
    </row>
    <row r="658" spans="1:8" hidden="1" x14ac:dyDescent="0.25">
      <c r="A658" s="158">
        <v>1647</v>
      </c>
      <c r="B658" s="156" t="s">
        <v>740</v>
      </c>
      <c r="C658" s="156" t="s">
        <v>360</v>
      </c>
      <c r="D658" s="156" t="s">
        <v>203</v>
      </c>
      <c r="E658" s="156" t="s">
        <v>17</v>
      </c>
      <c r="F658" s="159">
        <v>16917</v>
      </c>
      <c r="G658" s="159">
        <v>33836</v>
      </c>
      <c r="H658" s="159">
        <v>50754</v>
      </c>
    </row>
    <row r="659" spans="1:8" hidden="1" x14ac:dyDescent="0.25">
      <c r="A659" s="158">
        <v>1648</v>
      </c>
      <c r="B659" s="156" t="s">
        <v>740</v>
      </c>
      <c r="C659" s="156" t="s">
        <v>360</v>
      </c>
      <c r="D659" s="156" t="s">
        <v>203</v>
      </c>
      <c r="E659" s="156" t="s">
        <v>18</v>
      </c>
      <c r="F659" s="159">
        <v>17255</v>
      </c>
      <c r="G659" s="159">
        <v>34511</v>
      </c>
      <c r="H659" s="159">
        <v>51766</v>
      </c>
    </row>
    <row r="660" spans="1:8" hidden="1" x14ac:dyDescent="0.25">
      <c r="A660" s="158">
        <v>1649</v>
      </c>
      <c r="B660" s="156" t="s">
        <v>740</v>
      </c>
      <c r="C660" s="156" t="s">
        <v>360</v>
      </c>
      <c r="D660" s="156" t="s">
        <v>203</v>
      </c>
      <c r="E660" s="156" t="s">
        <v>19</v>
      </c>
      <c r="F660" s="159">
        <v>17601</v>
      </c>
      <c r="G660" s="159">
        <v>35201</v>
      </c>
      <c r="H660" s="159">
        <v>52802</v>
      </c>
    </row>
    <row r="661" spans="1:8" hidden="1" x14ac:dyDescent="0.25">
      <c r="A661" s="158">
        <v>1650</v>
      </c>
      <c r="B661" s="156" t="s">
        <v>740</v>
      </c>
      <c r="C661" s="156" t="s">
        <v>360</v>
      </c>
      <c r="D661" s="156" t="s">
        <v>203</v>
      </c>
      <c r="E661" s="156" t="s">
        <v>20</v>
      </c>
      <c r="F661" s="159">
        <v>17952</v>
      </c>
      <c r="G661" s="159">
        <v>35906</v>
      </c>
      <c r="H661" s="159">
        <v>53857</v>
      </c>
    </row>
    <row r="662" spans="1:8" hidden="1" x14ac:dyDescent="0.25">
      <c r="A662" s="158">
        <v>1291</v>
      </c>
      <c r="B662" s="156" t="s">
        <v>759</v>
      </c>
      <c r="C662" s="156" t="s">
        <v>182</v>
      </c>
      <c r="D662" s="156" t="s">
        <v>14</v>
      </c>
      <c r="E662" s="156" t="s">
        <v>15</v>
      </c>
      <c r="F662" s="159">
        <v>32259</v>
      </c>
      <c r="G662" s="159">
        <v>64518</v>
      </c>
      <c r="H662" s="159">
        <v>96777</v>
      </c>
    </row>
    <row r="663" spans="1:8" hidden="1" x14ac:dyDescent="0.25">
      <c r="A663" s="158">
        <v>1292</v>
      </c>
      <c r="B663" s="156" t="s">
        <v>759</v>
      </c>
      <c r="C663" s="156" t="s">
        <v>182</v>
      </c>
      <c r="D663" s="156" t="s">
        <v>14</v>
      </c>
      <c r="E663" s="156" t="s">
        <v>16</v>
      </c>
      <c r="F663" s="159">
        <v>32905</v>
      </c>
      <c r="G663" s="159">
        <v>65808</v>
      </c>
      <c r="H663" s="159">
        <v>98713</v>
      </c>
    </row>
    <row r="664" spans="1:8" hidden="1" x14ac:dyDescent="0.25">
      <c r="A664" s="158">
        <v>1293</v>
      </c>
      <c r="B664" s="156" t="s">
        <v>759</v>
      </c>
      <c r="C664" s="156" t="s">
        <v>182</v>
      </c>
      <c r="D664" s="156" t="s">
        <v>14</v>
      </c>
      <c r="E664" s="156" t="s">
        <v>17</v>
      </c>
      <c r="F664" s="159">
        <v>33562</v>
      </c>
      <c r="G664" s="159">
        <v>67125</v>
      </c>
      <c r="H664" s="156" t="s">
        <v>760</v>
      </c>
    </row>
    <row r="665" spans="1:8" hidden="1" x14ac:dyDescent="0.25">
      <c r="A665" s="158">
        <v>1294</v>
      </c>
      <c r="B665" s="156" t="s">
        <v>759</v>
      </c>
      <c r="C665" s="156" t="s">
        <v>182</v>
      </c>
      <c r="D665" s="156" t="s">
        <v>14</v>
      </c>
      <c r="E665" s="156" t="s">
        <v>18</v>
      </c>
      <c r="F665" s="159">
        <v>34233</v>
      </c>
      <c r="G665" s="159">
        <v>68467</v>
      </c>
      <c r="H665" s="156" t="s">
        <v>761</v>
      </c>
    </row>
    <row r="666" spans="1:8" hidden="1" x14ac:dyDescent="0.25">
      <c r="A666" s="158">
        <v>1295</v>
      </c>
      <c r="B666" s="156" t="s">
        <v>759</v>
      </c>
      <c r="C666" s="156" t="s">
        <v>182</v>
      </c>
      <c r="D666" s="156" t="s">
        <v>14</v>
      </c>
      <c r="E666" s="156" t="s">
        <v>19</v>
      </c>
      <c r="F666" s="159">
        <v>34918</v>
      </c>
      <c r="G666" s="159">
        <v>69837</v>
      </c>
      <c r="H666" s="156" t="s">
        <v>762</v>
      </c>
    </row>
    <row r="667" spans="1:8" hidden="1" x14ac:dyDescent="0.25">
      <c r="A667" s="158">
        <v>1296</v>
      </c>
      <c r="B667" s="156" t="s">
        <v>759</v>
      </c>
      <c r="C667" s="156" t="s">
        <v>182</v>
      </c>
      <c r="D667" s="156" t="s">
        <v>14</v>
      </c>
      <c r="E667" s="156" t="s">
        <v>20</v>
      </c>
      <c r="F667" s="159">
        <v>35616</v>
      </c>
      <c r="G667" s="159">
        <v>71233</v>
      </c>
      <c r="H667" s="156" t="s">
        <v>763</v>
      </c>
    </row>
    <row r="668" spans="1:8" hidden="1" x14ac:dyDescent="0.25">
      <c r="A668" s="158">
        <v>1297</v>
      </c>
      <c r="B668" s="156" t="s">
        <v>759</v>
      </c>
      <c r="C668" s="156" t="s">
        <v>182</v>
      </c>
      <c r="D668" s="156" t="s">
        <v>21</v>
      </c>
      <c r="E668" s="156" t="s">
        <v>15</v>
      </c>
      <c r="F668" s="159">
        <v>36329</v>
      </c>
      <c r="G668" s="159">
        <v>72658</v>
      </c>
      <c r="H668" s="156" t="s">
        <v>764</v>
      </c>
    </row>
    <row r="669" spans="1:8" hidden="1" x14ac:dyDescent="0.25">
      <c r="A669" s="158">
        <v>1298</v>
      </c>
      <c r="B669" s="156" t="s">
        <v>759</v>
      </c>
      <c r="C669" s="156" t="s">
        <v>182</v>
      </c>
      <c r="D669" s="156" t="s">
        <v>21</v>
      </c>
      <c r="E669" s="156" t="s">
        <v>16</v>
      </c>
      <c r="F669" s="159">
        <v>37056</v>
      </c>
      <c r="G669" s="159">
        <v>74111</v>
      </c>
      <c r="H669" s="156" t="s">
        <v>765</v>
      </c>
    </row>
    <row r="670" spans="1:8" hidden="1" x14ac:dyDescent="0.25">
      <c r="A670" s="158">
        <v>1299</v>
      </c>
      <c r="B670" s="156" t="s">
        <v>759</v>
      </c>
      <c r="C670" s="156" t="s">
        <v>182</v>
      </c>
      <c r="D670" s="156" t="s">
        <v>21</v>
      </c>
      <c r="E670" s="156" t="s">
        <v>17</v>
      </c>
      <c r="F670" s="159">
        <v>37796</v>
      </c>
      <c r="G670" s="159">
        <v>75594</v>
      </c>
      <c r="H670" s="156" t="s">
        <v>766</v>
      </c>
    </row>
    <row r="671" spans="1:8" hidden="1" x14ac:dyDescent="0.25">
      <c r="A671" s="158">
        <v>1300</v>
      </c>
      <c r="B671" s="156" t="s">
        <v>759</v>
      </c>
      <c r="C671" s="156" t="s">
        <v>182</v>
      </c>
      <c r="D671" s="156" t="s">
        <v>21</v>
      </c>
      <c r="E671" s="156" t="s">
        <v>18</v>
      </c>
      <c r="F671" s="159">
        <v>38553</v>
      </c>
      <c r="G671" s="159">
        <v>77105</v>
      </c>
      <c r="H671" s="156" t="s">
        <v>767</v>
      </c>
    </row>
    <row r="672" spans="1:8" hidden="1" x14ac:dyDescent="0.25">
      <c r="A672" s="158">
        <v>1301</v>
      </c>
      <c r="B672" s="156" t="s">
        <v>759</v>
      </c>
      <c r="C672" s="156" t="s">
        <v>182</v>
      </c>
      <c r="D672" s="156" t="s">
        <v>21</v>
      </c>
      <c r="E672" s="156" t="s">
        <v>19</v>
      </c>
      <c r="F672" s="159">
        <v>39324</v>
      </c>
      <c r="G672" s="159">
        <v>78647</v>
      </c>
      <c r="H672" s="156" t="s">
        <v>768</v>
      </c>
    </row>
    <row r="673" spans="1:8" hidden="1" x14ac:dyDescent="0.25">
      <c r="A673" s="158">
        <v>1302</v>
      </c>
      <c r="B673" s="156" t="s">
        <v>759</v>
      </c>
      <c r="C673" s="156" t="s">
        <v>182</v>
      </c>
      <c r="D673" s="156" t="s">
        <v>21</v>
      </c>
      <c r="E673" s="156" t="s">
        <v>20</v>
      </c>
      <c r="F673" s="159">
        <v>40110</v>
      </c>
      <c r="G673" s="159">
        <v>80220</v>
      </c>
      <c r="H673" s="156" t="s">
        <v>769</v>
      </c>
    </row>
    <row r="674" spans="1:8" hidden="1" x14ac:dyDescent="0.25">
      <c r="A674" s="158">
        <v>1303</v>
      </c>
      <c r="B674" s="156" t="s">
        <v>759</v>
      </c>
      <c r="C674" s="156" t="s">
        <v>182</v>
      </c>
      <c r="D674" s="156" t="s">
        <v>203</v>
      </c>
      <c r="E674" s="156" t="s">
        <v>15</v>
      </c>
      <c r="F674" s="159">
        <v>40912</v>
      </c>
      <c r="G674" s="159">
        <v>81824</v>
      </c>
      <c r="H674" s="156" t="s">
        <v>770</v>
      </c>
    </row>
    <row r="675" spans="1:8" hidden="1" x14ac:dyDescent="0.25">
      <c r="A675" s="158">
        <v>1304</v>
      </c>
      <c r="B675" s="156" t="s">
        <v>759</v>
      </c>
      <c r="C675" s="156" t="s">
        <v>182</v>
      </c>
      <c r="D675" s="156" t="s">
        <v>203</v>
      </c>
      <c r="E675" s="156" t="s">
        <v>16</v>
      </c>
      <c r="F675" s="159">
        <v>41730</v>
      </c>
      <c r="G675" s="159">
        <v>83461</v>
      </c>
      <c r="H675" s="156" t="s">
        <v>771</v>
      </c>
    </row>
    <row r="676" spans="1:8" hidden="1" x14ac:dyDescent="0.25">
      <c r="A676" s="158">
        <v>1305</v>
      </c>
      <c r="B676" s="156" t="s">
        <v>759</v>
      </c>
      <c r="C676" s="156" t="s">
        <v>182</v>
      </c>
      <c r="D676" s="156" t="s">
        <v>203</v>
      </c>
      <c r="E676" s="156" t="s">
        <v>17</v>
      </c>
      <c r="F676" s="159">
        <v>42565</v>
      </c>
      <c r="G676" s="159">
        <v>85129</v>
      </c>
      <c r="H676" s="156" t="s">
        <v>772</v>
      </c>
    </row>
    <row r="677" spans="1:8" hidden="1" x14ac:dyDescent="0.25">
      <c r="A677" s="158">
        <v>1306</v>
      </c>
      <c r="B677" s="156" t="s">
        <v>759</v>
      </c>
      <c r="C677" s="156" t="s">
        <v>182</v>
      </c>
      <c r="D677" s="156" t="s">
        <v>203</v>
      </c>
      <c r="E677" s="156" t="s">
        <v>18</v>
      </c>
      <c r="F677" s="159">
        <v>43416</v>
      </c>
      <c r="G677" s="159">
        <v>86833</v>
      </c>
      <c r="H677" s="156" t="s">
        <v>773</v>
      </c>
    </row>
    <row r="678" spans="1:8" hidden="1" x14ac:dyDescent="0.25">
      <c r="A678" s="158">
        <v>1307</v>
      </c>
      <c r="B678" s="156" t="s">
        <v>759</v>
      </c>
      <c r="C678" s="156" t="s">
        <v>182</v>
      </c>
      <c r="D678" s="156" t="s">
        <v>203</v>
      </c>
      <c r="E678" s="156" t="s">
        <v>19</v>
      </c>
      <c r="F678" s="159">
        <v>44284</v>
      </c>
      <c r="G678" s="159">
        <v>88569</v>
      </c>
      <c r="H678" s="156" t="s">
        <v>774</v>
      </c>
    </row>
    <row r="679" spans="1:8" hidden="1" x14ac:dyDescent="0.25">
      <c r="A679" s="158">
        <v>1308</v>
      </c>
      <c r="B679" s="156" t="s">
        <v>759</v>
      </c>
      <c r="C679" s="156" t="s">
        <v>182</v>
      </c>
      <c r="D679" s="156" t="s">
        <v>203</v>
      </c>
      <c r="E679" s="156" t="s">
        <v>20</v>
      </c>
      <c r="F679" s="159">
        <v>45170</v>
      </c>
      <c r="G679" s="159">
        <v>90340</v>
      </c>
      <c r="H679" s="156" t="s">
        <v>775</v>
      </c>
    </row>
    <row r="680" spans="1:8" hidden="1" x14ac:dyDescent="0.25">
      <c r="A680" s="158">
        <v>1309</v>
      </c>
      <c r="B680" s="156" t="s">
        <v>759</v>
      </c>
      <c r="C680" s="156" t="s">
        <v>287</v>
      </c>
      <c r="D680" s="156" t="s">
        <v>14</v>
      </c>
      <c r="E680" s="156" t="s">
        <v>15</v>
      </c>
      <c r="F680" s="159">
        <v>32259</v>
      </c>
      <c r="G680" s="159">
        <v>64518</v>
      </c>
      <c r="H680" s="159">
        <v>96777</v>
      </c>
    </row>
    <row r="681" spans="1:8" hidden="1" x14ac:dyDescent="0.25">
      <c r="A681" s="158">
        <v>1310</v>
      </c>
      <c r="B681" s="156" t="s">
        <v>759</v>
      </c>
      <c r="C681" s="156" t="s">
        <v>287</v>
      </c>
      <c r="D681" s="156" t="s">
        <v>14</v>
      </c>
      <c r="E681" s="156" t="s">
        <v>16</v>
      </c>
      <c r="F681" s="159">
        <v>32905</v>
      </c>
      <c r="G681" s="159">
        <v>65808</v>
      </c>
      <c r="H681" s="159">
        <v>98713</v>
      </c>
    </row>
    <row r="682" spans="1:8" hidden="1" x14ac:dyDescent="0.25">
      <c r="A682" s="158">
        <v>1311</v>
      </c>
      <c r="B682" s="156" t="s">
        <v>759</v>
      </c>
      <c r="C682" s="156" t="s">
        <v>287</v>
      </c>
      <c r="D682" s="156" t="s">
        <v>14</v>
      </c>
      <c r="E682" s="156" t="s">
        <v>17</v>
      </c>
      <c r="F682" s="159">
        <v>33562</v>
      </c>
      <c r="G682" s="159">
        <v>67125</v>
      </c>
      <c r="H682" s="156" t="s">
        <v>760</v>
      </c>
    </row>
    <row r="683" spans="1:8" hidden="1" x14ac:dyDescent="0.25">
      <c r="A683" s="158">
        <v>1312</v>
      </c>
      <c r="B683" s="156" t="s">
        <v>759</v>
      </c>
      <c r="C683" s="156" t="s">
        <v>287</v>
      </c>
      <c r="D683" s="156" t="s">
        <v>14</v>
      </c>
      <c r="E683" s="156" t="s">
        <v>18</v>
      </c>
      <c r="F683" s="159">
        <v>34233</v>
      </c>
      <c r="G683" s="159">
        <v>68467</v>
      </c>
      <c r="H683" s="156" t="s">
        <v>761</v>
      </c>
    </row>
    <row r="684" spans="1:8" hidden="1" x14ac:dyDescent="0.25">
      <c r="A684" s="158">
        <v>1313</v>
      </c>
      <c r="B684" s="156" t="s">
        <v>759</v>
      </c>
      <c r="C684" s="156" t="s">
        <v>287</v>
      </c>
      <c r="D684" s="156" t="s">
        <v>14</v>
      </c>
      <c r="E684" s="156" t="s">
        <v>19</v>
      </c>
      <c r="F684" s="159">
        <v>34918</v>
      </c>
      <c r="G684" s="159">
        <v>69837</v>
      </c>
      <c r="H684" s="156" t="s">
        <v>762</v>
      </c>
    </row>
    <row r="685" spans="1:8" hidden="1" x14ac:dyDescent="0.25">
      <c r="A685" s="158">
        <v>1314</v>
      </c>
      <c r="B685" s="156" t="s">
        <v>759</v>
      </c>
      <c r="C685" s="156" t="s">
        <v>287</v>
      </c>
      <c r="D685" s="156" t="s">
        <v>14</v>
      </c>
      <c r="E685" s="156" t="s">
        <v>20</v>
      </c>
      <c r="F685" s="159">
        <v>35616</v>
      </c>
      <c r="G685" s="159">
        <v>71233</v>
      </c>
      <c r="H685" s="156" t="s">
        <v>763</v>
      </c>
    </row>
    <row r="686" spans="1:8" hidden="1" x14ac:dyDescent="0.25">
      <c r="A686" s="158">
        <v>1315</v>
      </c>
      <c r="B686" s="156" t="s">
        <v>759</v>
      </c>
      <c r="C686" s="156" t="s">
        <v>287</v>
      </c>
      <c r="D686" s="156" t="s">
        <v>21</v>
      </c>
      <c r="E686" s="156" t="s">
        <v>15</v>
      </c>
      <c r="F686" s="159">
        <v>36329</v>
      </c>
      <c r="G686" s="159">
        <v>72658</v>
      </c>
      <c r="H686" s="156" t="s">
        <v>764</v>
      </c>
    </row>
    <row r="687" spans="1:8" hidden="1" x14ac:dyDescent="0.25">
      <c r="A687" s="158">
        <v>1316</v>
      </c>
      <c r="B687" s="156" t="s">
        <v>759</v>
      </c>
      <c r="C687" s="156" t="s">
        <v>287</v>
      </c>
      <c r="D687" s="156" t="s">
        <v>21</v>
      </c>
      <c r="E687" s="156" t="s">
        <v>16</v>
      </c>
      <c r="F687" s="159">
        <v>37056</v>
      </c>
      <c r="G687" s="159">
        <v>74111</v>
      </c>
      <c r="H687" s="156" t="s">
        <v>765</v>
      </c>
    </row>
    <row r="688" spans="1:8" hidden="1" x14ac:dyDescent="0.25">
      <c r="A688" s="158">
        <v>1317</v>
      </c>
      <c r="B688" s="156" t="s">
        <v>759</v>
      </c>
      <c r="C688" s="156" t="s">
        <v>287</v>
      </c>
      <c r="D688" s="156" t="s">
        <v>21</v>
      </c>
      <c r="E688" s="156" t="s">
        <v>17</v>
      </c>
      <c r="F688" s="159">
        <v>37796</v>
      </c>
      <c r="G688" s="159">
        <v>75594</v>
      </c>
      <c r="H688" s="156" t="s">
        <v>766</v>
      </c>
    </row>
    <row r="689" spans="1:8" hidden="1" x14ac:dyDescent="0.25">
      <c r="A689" s="158">
        <v>1318</v>
      </c>
      <c r="B689" s="156" t="s">
        <v>759</v>
      </c>
      <c r="C689" s="156" t="s">
        <v>287</v>
      </c>
      <c r="D689" s="156" t="s">
        <v>21</v>
      </c>
      <c r="E689" s="156" t="s">
        <v>18</v>
      </c>
      <c r="F689" s="159">
        <v>38553</v>
      </c>
      <c r="G689" s="159">
        <v>77105</v>
      </c>
      <c r="H689" s="156" t="s">
        <v>767</v>
      </c>
    </row>
    <row r="690" spans="1:8" hidden="1" x14ac:dyDescent="0.25">
      <c r="A690" s="158">
        <v>1319</v>
      </c>
      <c r="B690" s="156" t="s">
        <v>759</v>
      </c>
      <c r="C690" s="156" t="s">
        <v>287</v>
      </c>
      <c r="D690" s="156" t="s">
        <v>21</v>
      </c>
      <c r="E690" s="156" t="s">
        <v>19</v>
      </c>
      <c r="F690" s="159">
        <v>39324</v>
      </c>
      <c r="G690" s="159">
        <v>78647</v>
      </c>
      <c r="H690" s="156" t="s">
        <v>768</v>
      </c>
    </row>
    <row r="691" spans="1:8" hidden="1" x14ac:dyDescent="0.25">
      <c r="A691" s="158">
        <v>1320</v>
      </c>
      <c r="B691" s="156" t="s">
        <v>759</v>
      </c>
      <c r="C691" s="156" t="s">
        <v>287</v>
      </c>
      <c r="D691" s="156" t="s">
        <v>21</v>
      </c>
      <c r="E691" s="156" t="s">
        <v>20</v>
      </c>
      <c r="F691" s="159">
        <v>40110</v>
      </c>
      <c r="G691" s="159">
        <v>80220</v>
      </c>
      <c r="H691" s="156" t="s">
        <v>769</v>
      </c>
    </row>
    <row r="692" spans="1:8" hidden="1" x14ac:dyDescent="0.25">
      <c r="A692" s="158">
        <v>1321</v>
      </c>
      <c r="B692" s="156" t="s">
        <v>759</v>
      </c>
      <c r="C692" s="156" t="s">
        <v>287</v>
      </c>
      <c r="D692" s="156" t="s">
        <v>203</v>
      </c>
      <c r="E692" s="156" t="s">
        <v>15</v>
      </c>
      <c r="F692" s="159">
        <v>40912</v>
      </c>
      <c r="G692" s="159">
        <v>81824</v>
      </c>
      <c r="H692" s="156" t="s">
        <v>770</v>
      </c>
    </row>
    <row r="693" spans="1:8" hidden="1" x14ac:dyDescent="0.25">
      <c r="A693" s="158">
        <v>1322</v>
      </c>
      <c r="B693" s="156" t="s">
        <v>759</v>
      </c>
      <c r="C693" s="156" t="s">
        <v>287</v>
      </c>
      <c r="D693" s="156" t="s">
        <v>203</v>
      </c>
      <c r="E693" s="156" t="s">
        <v>16</v>
      </c>
      <c r="F693" s="159">
        <v>41730</v>
      </c>
      <c r="G693" s="159">
        <v>83461</v>
      </c>
      <c r="H693" s="156" t="s">
        <v>771</v>
      </c>
    </row>
    <row r="694" spans="1:8" hidden="1" x14ac:dyDescent="0.25">
      <c r="A694" s="158">
        <v>1323</v>
      </c>
      <c r="B694" s="156" t="s">
        <v>759</v>
      </c>
      <c r="C694" s="156" t="s">
        <v>287</v>
      </c>
      <c r="D694" s="156" t="s">
        <v>203</v>
      </c>
      <c r="E694" s="156" t="s">
        <v>17</v>
      </c>
      <c r="F694" s="159">
        <v>42565</v>
      </c>
      <c r="G694" s="159">
        <v>85129</v>
      </c>
      <c r="H694" s="156" t="s">
        <v>772</v>
      </c>
    </row>
    <row r="695" spans="1:8" hidden="1" x14ac:dyDescent="0.25">
      <c r="A695" s="158">
        <v>1324</v>
      </c>
      <c r="B695" s="156" t="s">
        <v>759</v>
      </c>
      <c r="C695" s="156" t="s">
        <v>287</v>
      </c>
      <c r="D695" s="156" t="s">
        <v>203</v>
      </c>
      <c r="E695" s="156" t="s">
        <v>18</v>
      </c>
      <c r="F695" s="159">
        <v>43416</v>
      </c>
      <c r="G695" s="159">
        <v>86833</v>
      </c>
      <c r="H695" s="156" t="s">
        <v>773</v>
      </c>
    </row>
    <row r="696" spans="1:8" hidden="1" x14ac:dyDescent="0.25">
      <c r="A696" s="158">
        <v>1325</v>
      </c>
      <c r="B696" s="156" t="s">
        <v>759</v>
      </c>
      <c r="C696" s="156" t="s">
        <v>287</v>
      </c>
      <c r="D696" s="156" t="s">
        <v>203</v>
      </c>
      <c r="E696" s="156" t="s">
        <v>19</v>
      </c>
      <c r="F696" s="159">
        <v>44284</v>
      </c>
      <c r="G696" s="159">
        <v>88569</v>
      </c>
      <c r="H696" s="156" t="s">
        <v>774</v>
      </c>
    </row>
    <row r="697" spans="1:8" hidden="1" x14ac:dyDescent="0.25">
      <c r="A697" s="158">
        <v>1326</v>
      </c>
      <c r="B697" s="156" t="s">
        <v>759</v>
      </c>
      <c r="C697" s="156" t="s">
        <v>287</v>
      </c>
      <c r="D697" s="156" t="s">
        <v>203</v>
      </c>
      <c r="E697" s="156" t="s">
        <v>20</v>
      </c>
      <c r="F697" s="159">
        <v>45170</v>
      </c>
      <c r="G697" s="159">
        <v>90340</v>
      </c>
      <c r="H697" s="156" t="s">
        <v>775</v>
      </c>
    </row>
    <row r="698" spans="1:8" hidden="1" x14ac:dyDescent="0.25">
      <c r="A698" s="158">
        <v>1327</v>
      </c>
      <c r="B698" s="156" t="s">
        <v>759</v>
      </c>
      <c r="C698" s="156" t="s">
        <v>290</v>
      </c>
      <c r="D698" s="156" t="s">
        <v>14</v>
      </c>
      <c r="E698" s="156" t="s">
        <v>15</v>
      </c>
      <c r="F698" s="159">
        <v>32259</v>
      </c>
      <c r="G698" s="159">
        <v>64518</v>
      </c>
      <c r="H698" s="159">
        <v>96777</v>
      </c>
    </row>
    <row r="699" spans="1:8" hidden="1" x14ac:dyDescent="0.25">
      <c r="A699" s="158">
        <v>1328</v>
      </c>
      <c r="B699" s="156" t="s">
        <v>759</v>
      </c>
      <c r="C699" s="156" t="s">
        <v>290</v>
      </c>
      <c r="D699" s="156" t="s">
        <v>14</v>
      </c>
      <c r="E699" s="156" t="s">
        <v>16</v>
      </c>
      <c r="F699" s="159">
        <v>32905</v>
      </c>
      <c r="G699" s="159">
        <v>65808</v>
      </c>
      <c r="H699" s="159">
        <v>98713</v>
      </c>
    </row>
    <row r="700" spans="1:8" hidden="1" x14ac:dyDescent="0.25">
      <c r="A700" s="158">
        <v>1329</v>
      </c>
      <c r="B700" s="156" t="s">
        <v>759</v>
      </c>
      <c r="C700" s="156" t="s">
        <v>290</v>
      </c>
      <c r="D700" s="156" t="s">
        <v>14</v>
      </c>
      <c r="E700" s="156" t="s">
        <v>17</v>
      </c>
      <c r="F700" s="159">
        <v>33562</v>
      </c>
      <c r="G700" s="159">
        <v>67125</v>
      </c>
      <c r="H700" s="156" t="s">
        <v>760</v>
      </c>
    </row>
    <row r="701" spans="1:8" hidden="1" x14ac:dyDescent="0.25">
      <c r="A701" s="158">
        <v>1330</v>
      </c>
      <c r="B701" s="156" t="s">
        <v>759</v>
      </c>
      <c r="C701" s="156" t="s">
        <v>290</v>
      </c>
      <c r="D701" s="156" t="s">
        <v>14</v>
      </c>
      <c r="E701" s="156" t="s">
        <v>18</v>
      </c>
      <c r="F701" s="159">
        <v>34233</v>
      </c>
      <c r="G701" s="159">
        <v>68467</v>
      </c>
      <c r="H701" s="156" t="s">
        <v>761</v>
      </c>
    </row>
    <row r="702" spans="1:8" hidden="1" x14ac:dyDescent="0.25">
      <c r="A702" s="158">
        <v>1331</v>
      </c>
      <c r="B702" s="156" t="s">
        <v>759</v>
      </c>
      <c r="C702" s="156" t="s">
        <v>290</v>
      </c>
      <c r="D702" s="156" t="s">
        <v>14</v>
      </c>
      <c r="E702" s="156" t="s">
        <v>19</v>
      </c>
      <c r="F702" s="159">
        <v>34918</v>
      </c>
      <c r="G702" s="159">
        <v>69837</v>
      </c>
      <c r="H702" s="156" t="s">
        <v>762</v>
      </c>
    </row>
    <row r="703" spans="1:8" hidden="1" x14ac:dyDescent="0.25">
      <c r="A703" s="158">
        <v>1332</v>
      </c>
      <c r="B703" s="156" t="s">
        <v>759</v>
      </c>
      <c r="C703" s="156" t="s">
        <v>290</v>
      </c>
      <c r="D703" s="156" t="s">
        <v>14</v>
      </c>
      <c r="E703" s="156" t="s">
        <v>20</v>
      </c>
      <c r="F703" s="159">
        <v>35616</v>
      </c>
      <c r="G703" s="159">
        <v>71233</v>
      </c>
      <c r="H703" s="156" t="s">
        <v>763</v>
      </c>
    </row>
    <row r="704" spans="1:8" hidden="1" x14ac:dyDescent="0.25">
      <c r="A704" s="158">
        <v>1333</v>
      </c>
      <c r="B704" s="156" t="s">
        <v>759</v>
      </c>
      <c r="C704" s="156" t="s">
        <v>290</v>
      </c>
      <c r="D704" s="156" t="s">
        <v>21</v>
      </c>
      <c r="E704" s="156" t="s">
        <v>15</v>
      </c>
      <c r="F704" s="159">
        <v>36329</v>
      </c>
      <c r="G704" s="159">
        <v>72658</v>
      </c>
      <c r="H704" s="156" t="s">
        <v>764</v>
      </c>
    </row>
    <row r="705" spans="1:8" hidden="1" x14ac:dyDescent="0.25">
      <c r="A705" s="158">
        <v>1334</v>
      </c>
      <c r="B705" s="156" t="s">
        <v>759</v>
      </c>
      <c r="C705" s="156" t="s">
        <v>290</v>
      </c>
      <c r="D705" s="156" t="s">
        <v>21</v>
      </c>
      <c r="E705" s="156" t="s">
        <v>16</v>
      </c>
      <c r="F705" s="159">
        <v>37056</v>
      </c>
      <c r="G705" s="159">
        <v>74111</v>
      </c>
      <c r="H705" s="156" t="s">
        <v>765</v>
      </c>
    </row>
    <row r="706" spans="1:8" hidden="1" x14ac:dyDescent="0.25">
      <c r="A706" s="158">
        <v>1335</v>
      </c>
      <c r="B706" s="156" t="s">
        <v>759</v>
      </c>
      <c r="C706" s="156" t="s">
        <v>290</v>
      </c>
      <c r="D706" s="156" t="s">
        <v>21</v>
      </c>
      <c r="E706" s="156" t="s">
        <v>17</v>
      </c>
      <c r="F706" s="159">
        <v>37796</v>
      </c>
      <c r="G706" s="159">
        <v>75594</v>
      </c>
      <c r="H706" s="156" t="s">
        <v>766</v>
      </c>
    </row>
    <row r="707" spans="1:8" hidden="1" x14ac:dyDescent="0.25">
      <c r="A707" s="158">
        <v>1336</v>
      </c>
      <c r="B707" s="156" t="s">
        <v>759</v>
      </c>
      <c r="C707" s="156" t="s">
        <v>290</v>
      </c>
      <c r="D707" s="156" t="s">
        <v>21</v>
      </c>
      <c r="E707" s="156" t="s">
        <v>18</v>
      </c>
      <c r="F707" s="159">
        <v>38553</v>
      </c>
      <c r="G707" s="159">
        <v>77105</v>
      </c>
      <c r="H707" s="156" t="s">
        <v>767</v>
      </c>
    </row>
    <row r="708" spans="1:8" hidden="1" x14ac:dyDescent="0.25">
      <c r="A708" s="158">
        <v>1337</v>
      </c>
      <c r="B708" s="156" t="s">
        <v>759</v>
      </c>
      <c r="C708" s="156" t="s">
        <v>290</v>
      </c>
      <c r="D708" s="156" t="s">
        <v>21</v>
      </c>
      <c r="E708" s="156" t="s">
        <v>19</v>
      </c>
      <c r="F708" s="159">
        <v>39324</v>
      </c>
      <c r="G708" s="159">
        <v>78647</v>
      </c>
      <c r="H708" s="156" t="s">
        <v>768</v>
      </c>
    </row>
    <row r="709" spans="1:8" hidden="1" x14ac:dyDescent="0.25">
      <c r="A709" s="158">
        <v>1338</v>
      </c>
      <c r="B709" s="156" t="s">
        <v>759</v>
      </c>
      <c r="C709" s="156" t="s">
        <v>290</v>
      </c>
      <c r="D709" s="156" t="s">
        <v>21</v>
      </c>
      <c r="E709" s="156" t="s">
        <v>20</v>
      </c>
      <c r="F709" s="159">
        <v>40110</v>
      </c>
      <c r="G709" s="159">
        <v>80220</v>
      </c>
      <c r="H709" s="156" t="s">
        <v>769</v>
      </c>
    </row>
    <row r="710" spans="1:8" hidden="1" x14ac:dyDescent="0.25">
      <c r="A710" s="158">
        <v>1339</v>
      </c>
      <c r="B710" s="156" t="s">
        <v>759</v>
      </c>
      <c r="C710" s="156" t="s">
        <v>290</v>
      </c>
      <c r="D710" s="156" t="s">
        <v>203</v>
      </c>
      <c r="E710" s="156" t="s">
        <v>15</v>
      </c>
      <c r="F710" s="159">
        <v>40912</v>
      </c>
      <c r="G710" s="159">
        <v>81824</v>
      </c>
      <c r="H710" s="156" t="s">
        <v>770</v>
      </c>
    </row>
    <row r="711" spans="1:8" hidden="1" x14ac:dyDescent="0.25">
      <c r="A711" s="158">
        <v>1340</v>
      </c>
      <c r="B711" s="156" t="s">
        <v>759</v>
      </c>
      <c r="C711" s="156" t="s">
        <v>290</v>
      </c>
      <c r="D711" s="156" t="s">
        <v>203</v>
      </c>
      <c r="E711" s="156" t="s">
        <v>16</v>
      </c>
      <c r="F711" s="159">
        <v>41730</v>
      </c>
      <c r="G711" s="159">
        <v>83461</v>
      </c>
      <c r="H711" s="156" t="s">
        <v>771</v>
      </c>
    </row>
    <row r="712" spans="1:8" hidden="1" x14ac:dyDescent="0.25">
      <c r="A712" s="158">
        <v>1341</v>
      </c>
      <c r="B712" s="156" t="s">
        <v>759</v>
      </c>
      <c r="C712" s="156" t="s">
        <v>290</v>
      </c>
      <c r="D712" s="156" t="s">
        <v>203</v>
      </c>
      <c r="E712" s="156" t="s">
        <v>17</v>
      </c>
      <c r="F712" s="159">
        <v>42565</v>
      </c>
      <c r="G712" s="159">
        <v>85129</v>
      </c>
      <c r="H712" s="156" t="s">
        <v>772</v>
      </c>
    </row>
    <row r="713" spans="1:8" hidden="1" x14ac:dyDescent="0.25">
      <c r="A713" s="158">
        <v>1342</v>
      </c>
      <c r="B713" s="156" t="s">
        <v>759</v>
      </c>
      <c r="C713" s="156" t="s">
        <v>290</v>
      </c>
      <c r="D713" s="156" t="s">
        <v>203</v>
      </c>
      <c r="E713" s="156" t="s">
        <v>18</v>
      </c>
      <c r="F713" s="159">
        <v>43416</v>
      </c>
      <c r="G713" s="159">
        <v>86833</v>
      </c>
      <c r="H713" s="156" t="s">
        <v>773</v>
      </c>
    </row>
    <row r="714" spans="1:8" hidden="1" x14ac:dyDescent="0.25">
      <c r="A714" s="158">
        <v>1343</v>
      </c>
      <c r="B714" s="156" t="s">
        <v>759</v>
      </c>
      <c r="C714" s="156" t="s">
        <v>290</v>
      </c>
      <c r="D714" s="156" t="s">
        <v>203</v>
      </c>
      <c r="E714" s="156" t="s">
        <v>19</v>
      </c>
      <c r="F714" s="159">
        <v>44284</v>
      </c>
      <c r="G714" s="159">
        <v>88569</v>
      </c>
      <c r="H714" s="156" t="s">
        <v>774</v>
      </c>
    </row>
    <row r="715" spans="1:8" hidden="1" x14ac:dyDescent="0.25">
      <c r="A715" s="158">
        <v>1344</v>
      </c>
      <c r="B715" s="156" t="s">
        <v>759</v>
      </c>
      <c r="C715" s="156" t="s">
        <v>290</v>
      </c>
      <c r="D715" s="156" t="s">
        <v>203</v>
      </c>
      <c r="E715" s="156" t="s">
        <v>20</v>
      </c>
      <c r="F715" s="159">
        <v>45170</v>
      </c>
      <c r="G715" s="159">
        <v>90340</v>
      </c>
      <c r="H715" s="156" t="s">
        <v>775</v>
      </c>
    </row>
    <row r="716" spans="1:8" hidden="1" x14ac:dyDescent="0.25">
      <c r="A716" s="158">
        <v>1345</v>
      </c>
      <c r="B716" s="156" t="s">
        <v>759</v>
      </c>
      <c r="C716" s="156" t="s">
        <v>234</v>
      </c>
      <c r="D716" s="156" t="s">
        <v>14</v>
      </c>
      <c r="E716" s="156" t="s">
        <v>15</v>
      </c>
      <c r="F716" s="159">
        <v>17133</v>
      </c>
      <c r="G716" s="159">
        <v>34266</v>
      </c>
      <c r="H716" s="159">
        <v>51399</v>
      </c>
    </row>
    <row r="717" spans="1:8" hidden="1" x14ac:dyDescent="0.25">
      <c r="A717" s="158">
        <v>1346</v>
      </c>
      <c r="B717" s="156" t="s">
        <v>759</v>
      </c>
      <c r="C717" s="156" t="s">
        <v>234</v>
      </c>
      <c r="D717" s="156" t="s">
        <v>14</v>
      </c>
      <c r="E717" s="156" t="s">
        <v>16</v>
      </c>
      <c r="F717" s="159">
        <v>17476</v>
      </c>
      <c r="G717" s="159">
        <v>34952</v>
      </c>
      <c r="H717" s="159">
        <v>52428</v>
      </c>
    </row>
    <row r="718" spans="1:8" hidden="1" x14ac:dyDescent="0.25">
      <c r="A718" s="158">
        <v>1347</v>
      </c>
      <c r="B718" s="156" t="s">
        <v>759</v>
      </c>
      <c r="C718" s="156" t="s">
        <v>234</v>
      </c>
      <c r="D718" s="156" t="s">
        <v>14</v>
      </c>
      <c r="E718" s="156" t="s">
        <v>17</v>
      </c>
      <c r="F718" s="159">
        <v>17826</v>
      </c>
      <c r="G718" s="159">
        <v>35651</v>
      </c>
      <c r="H718" s="159">
        <v>53477</v>
      </c>
    </row>
    <row r="719" spans="1:8" hidden="1" x14ac:dyDescent="0.25">
      <c r="A719" s="158">
        <v>1348</v>
      </c>
      <c r="B719" s="156" t="s">
        <v>759</v>
      </c>
      <c r="C719" s="156" t="s">
        <v>234</v>
      </c>
      <c r="D719" s="156" t="s">
        <v>14</v>
      </c>
      <c r="E719" s="156" t="s">
        <v>18</v>
      </c>
      <c r="F719" s="159">
        <v>18182</v>
      </c>
      <c r="G719" s="159">
        <v>36363</v>
      </c>
      <c r="H719" s="159">
        <v>54545</v>
      </c>
    </row>
    <row r="720" spans="1:8" hidden="1" x14ac:dyDescent="0.25">
      <c r="A720" s="158">
        <v>1349</v>
      </c>
      <c r="B720" s="156" t="s">
        <v>759</v>
      </c>
      <c r="C720" s="156" t="s">
        <v>234</v>
      </c>
      <c r="D720" s="156" t="s">
        <v>14</v>
      </c>
      <c r="E720" s="156" t="s">
        <v>19</v>
      </c>
      <c r="F720" s="159">
        <v>18545</v>
      </c>
      <c r="G720" s="159">
        <v>37091</v>
      </c>
      <c r="H720" s="159">
        <v>55636</v>
      </c>
    </row>
    <row r="721" spans="1:8" hidden="1" x14ac:dyDescent="0.25">
      <c r="A721" s="158">
        <v>1350</v>
      </c>
      <c r="B721" s="156" t="s">
        <v>759</v>
      </c>
      <c r="C721" s="156" t="s">
        <v>234</v>
      </c>
      <c r="D721" s="156" t="s">
        <v>14</v>
      </c>
      <c r="E721" s="156" t="s">
        <v>20</v>
      </c>
      <c r="F721" s="159">
        <v>18917</v>
      </c>
      <c r="G721" s="159">
        <v>37833</v>
      </c>
      <c r="H721" s="159">
        <v>56750</v>
      </c>
    </row>
    <row r="722" spans="1:8" hidden="1" x14ac:dyDescent="0.25">
      <c r="A722" s="158">
        <v>1351</v>
      </c>
      <c r="B722" s="156" t="s">
        <v>759</v>
      </c>
      <c r="C722" s="156" t="s">
        <v>234</v>
      </c>
      <c r="D722" s="156" t="s">
        <v>21</v>
      </c>
      <c r="E722" s="156" t="s">
        <v>15</v>
      </c>
      <c r="F722" s="159">
        <v>19294</v>
      </c>
      <c r="G722" s="159">
        <v>38589</v>
      </c>
      <c r="H722" s="159">
        <v>57883</v>
      </c>
    </row>
    <row r="723" spans="1:8" hidden="1" x14ac:dyDescent="0.25">
      <c r="A723" s="158">
        <v>1352</v>
      </c>
      <c r="B723" s="156" t="s">
        <v>759</v>
      </c>
      <c r="C723" s="156" t="s">
        <v>234</v>
      </c>
      <c r="D723" s="156" t="s">
        <v>21</v>
      </c>
      <c r="E723" s="156" t="s">
        <v>16</v>
      </c>
      <c r="F723" s="159">
        <v>19681</v>
      </c>
      <c r="G723" s="159">
        <v>39362</v>
      </c>
      <c r="H723" s="159">
        <v>59043</v>
      </c>
    </row>
    <row r="724" spans="1:8" hidden="1" x14ac:dyDescent="0.25">
      <c r="A724" s="158">
        <v>1353</v>
      </c>
      <c r="B724" s="156" t="s">
        <v>759</v>
      </c>
      <c r="C724" s="156" t="s">
        <v>234</v>
      </c>
      <c r="D724" s="156" t="s">
        <v>21</v>
      </c>
      <c r="E724" s="156" t="s">
        <v>17</v>
      </c>
      <c r="F724" s="159">
        <v>20074</v>
      </c>
      <c r="G724" s="159">
        <v>40148</v>
      </c>
      <c r="H724" s="159">
        <v>60221</v>
      </c>
    </row>
    <row r="725" spans="1:8" hidden="1" x14ac:dyDescent="0.25">
      <c r="A725" s="158">
        <v>1354</v>
      </c>
      <c r="B725" s="156" t="s">
        <v>759</v>
      </c>
      <c r="C725" s="156" t="s">
        <v>234</v>
      </c>
      <c r="D725" s="156" t="s">
        <v>21</v>
      </c>
      <c r="E725" s="156" t="s">
        <v>18</v>
      </c>
      <c r="F725" s="159">
        <v>20476</v>
      </c>
      <c r="G725" s="159">
        <v>40951</v>
      </c>
      <c r="H725" s="159">
        <v>61427</v>
      </c>
    </row>
    <row r="726" spans="1:8" hidden="1" x14ac:dyDescent="0.25">
      <c r="A726" s="158">
        <v>1355</v>
      </c>
      <c r="B726" s="156" t="s">
        <v>759</v>
      </c>
      <c r="C726" s="156" t="s">
        <v>234</v>
      </c>
      <c r="D726" s="156" t="s">
        <v>21</v>
      </c>
      <c r="E726" s="156" t="s">
        <v>19</v>
      </c>
      <c r="F726" s="159">
        <v>20885</v>
      </c>
      <c r="G726" s="159">
        <v>41770</v>
      </c>
      <c r="H726" s="159">
        <v>62654</v>
      </c>
    </row>
    <row r="727" spans="1:8" hidden="1" x14ac:dyDescent="0.25">
      <c r="A727" s="158">
        <v>1356</v>
      </c>
      <c r="B727" s="156" t="s">
        <v>759</v>
      </c>
      <c r="C727" s="156" t="s">
        <v>234</v>
      </c>
      <c r="D727" s="156" t="s">
        <v>21</v>
      </c>
      <c r="E727" s="156" t="s">
        <v>20</v>
      </c>
      <c r="F727" s="159">
        <v>21303</v>
      </c>
      <c r="G727" s="159">
        <v>42605</v>
      </c>
      <c r="H727" s="159">
        <v>63908</v>
      </c>
    </row>
    <row r="728" spans="1:8" hidden="1" x14ac:dyDescent="0.25">
      <c r="A728" s="158">
        <v>1357</v>
      </c>
      <c r="B728" s="156" t="s">
        <v>759</v>
      </c>
      <c r="C728" s="156" t="s">
        <v>234</v>
      </c>
      <c r="D728" s="156" t="s">
        <v>203</v>
      </c>
      <c r="E728" s="156" t="s">
        <v>15</v>
      </c>
      <c r="F728" s="159">
        <v>21728</v>
      </c>
      <c r="G728" s="159">
        <v>43457</v>
      </c>
      <c r="H728" s="159">
        <v>65185</v>
      </c>
    </row>
    <row r="729" spans="1:8" hidden="1" x14ac:dyDescent="0.25">
      <c r="A729" s="158">
        <v>1358</v>
      </c>
      <c r="B729" s="156" t="s">
        <v>759</v>
      </c>
      <c r="C729" s="156" t="s">
        <v>234</v>
      </c>
      <c r="D729" s="156" t="s">
        <v>203</v>
      </c>
      <c r="E729" s="156" t="s">
        <v>16</v>
      </c>
      <c r="F729" s="159">
        <v>22164</v>
      </c>
      <c r="G729" s="159">
        <v>44327</v>
      </c>
      <c r="H729" s="159">
        <v>66491</v>
      </c>
    </row>
    <row r="730" spans="1:8" hidden="1" x14ac:dyDescent="0.25">
      <c r="A730" s="158">
        <v>1359</v>
      </c>
      <c r="B730" s="156" t="s">
        <v>759</v>
      </c>
      <c r="C730" s="156" t="s">
        <v>234</v>
      </c>
      <c r="D730" s="156" t="s">
        <v>203</v>
      </c>
      <c r="E730" s="156" t="s">
        <v>17</v>
      </c>
      <c r="F730" s="159">
        <v>22607</v>
      </c>
      <c r="G730" s="159">
        <v>45213</v>
      </c>
      <c r="H730" s="159">
        <v>67820</v>
      </c>
    </row>
    <row r="731" spans="1:8" hidden="1" x14ac:dyDescent="0.25">
      <c r="A731" s="158">
        <v>1360</v>
      </c>
      <c r="B731" s="156" t="s">
        <v>759</v>
      </c>
      <c r="C731" s="156" t="s">
        <v>234</v>
      </c>
      <c r="D731" s="156" t="s">
        <v>203</v>
      </c>
      <c r="E731" s="156" t="s">
        <v>18</v>
      </c>
      <c r="F731" s="159">
        <v>23059</v>
      </c>
      <c r="G731" s="159">
        <v>46118</v>
      </c>
      <c r="H731" s="159">
        <v>69178</v>
      </c>
    </row>
    <row r="732" spans="1:8" hidden="1" x14ac:dyDescent="0.25">
      <c r="A732" s="158">
        <v>1361</v>
      </c>
      <c r="B732" s="156" t="s">
        <v>759</v>
      </c>
      <c r="C732" s="156" t="s">
        <v>234</v>
      </c>
      <c r="D732" s="156" t="s">
        <v>203</v>
      </c>
      <c r="E732" s="156" t="s">
        <v>19</v>
      </c>
      <c r="F732" s="159">
        <v>23520</v>
      </c>
      <c r="G732" s="159">
        <v>47040</v>
      </c>
      <c r="H732" s="159">
        <v>70561</v>
      </c>
    </row>
    <row r="733" spans="1:8" hidden="1" x14ac:dyDescent="0.25">
      <c r="A733" s="158">
        <v>1362</v>
      </c>
      <c r="B733" s="156" t="s">
        <v>759</v>
      </c>
      <c r="C733" s="156" t="s">
        <v>234</v>
      </c>
      <c r="D733" s="156" t="s">
        <v>203</v>
      </c>
      <c r="E733" s="156" t="s">
        <v>20</v>
      </c>
      <c r="F733" s="159">
        <v>23991</v>
      </c>
      <c r="G733" s="159">
        <v>47981</v>
      </c>
      <c r="H733" s="159">
        <v>71972</v>
      </c>
    </row>
    <row r="734" spans="1:8" hidden="1" x14ac:dyDescent="0.25">
      <c r="A734" s="158">
        <v>1363</v>
      </c>
      <c r="B734" s="156" t="s">
        <v>759</v>
      </c>
      <c r="C734" s="156" t="s">
        <v>305</v>
      </c>
      <c r="D734" s="156" t="s">
        <v>14</v>
      </c>
      <c r="E734" s="156" t="s">
        <v>15</v>
      </c>
      <c r="F734" s="159">
        <v>17133</v>
      </c>
      <c r="G734" s="159">
        <v>34266</v>
      </c>
      <c r="H734" s="159">
        <v>51399</v>
      </c>
    </row>
    <row r="735" spans="1:8" hidden="1" x14ac:dyDescent="0.25">
      <c r="A735" s="158">
        <v>1364</v>
      </c>
      <c r="B735" s="156" t="s">
        <v>759</v>
      </c>
      <c r="C735" s="156" t="s">
        <v>305</v>
      </c>
      <c r="D735" s="156" t="s">
        <v>14</v>
      </c>
      <c r="E735" s="156" t="s">
        <v>16</v>
      </c>
      <c r="F735" s="159">
        <v>17476</v>
      </c>
      <c r="G735" s="159">
        <v>34952</v>
      </c>
      <c r="H735" s="159">
        <v>52428</v>
      </c>
    </row>
    <row r="736" spans="1:8" hidden="1" x14ac:dyDescent="0.25">
      <c r="A736" s="158">
        <v>1365</v>
      </c>
      <c r="B736" s="156" t="s">
        <v>759</v>
      </c>
      <c r="C736" s="156" t="s">
        <v>305</v>
      </c>
      <c r="D736" s="156" t="s">
        <v>14</v>
      </c>
      <c r="E736" s="156" t="s">
        <v>17</v>
      </c>
      <c r="F736" s="159">
        <v>17826</v>
      </c>
      <c r="G736" s="159">
        <v>35651</v>
      </c>
      <c r="H736" s="159">
        <v>53477</v>
      </c>
    </row>
    <row r="737" spans="1:8" hidden="1" x14ac:dyDescent="0.25">
      <c r="A737" s="158">
        <v>1366</v>
      </c>
      <c r="B737" s="156" t="s">
        <v>759</v>
      </c>
      <c r="C737" s="156" t="s">
        <v>305</v>
      </c>
      <c r="D737" s="156" t="s">
        <v>14</v>
      </c>
      <c r="E737" s="156" t="s">
        <v>18</v>
      </c>
      <c r="F737" s="159">
        <v>18182</v>
      </c>
      <c r="G737" s="159">
        <v>36363</v>
      </c>
      <c r="H737" s="159">
        <v>54545</v>
      </c>
    </row>
    <row r="738" spans="1:8" hidden="1" x14ac:dyDescent="0.25">
      <c r="A738" s="158">
        <v>1367</v>
      </c>
      <c r="B738" s="156" t="s">
        <v>759</v>
      </c>
      <c r="C738" s="156" t="s">
        <v>305</v>
      </c>
      <c r="D738" s="156" t="s">
        <v>14</v>
      </c>
      <c r="E738" s="156" t="s">
        <v>19</v>
      </c>
      <c r="F738" s="159">
        <v>18545</v>
      </c>
      <c r="G738" s="159">
        <v>37091</v>
      </c>
      <c r="H738" s="159">
        <v>55636</v>
      </c>
    </row>
    <row r="739" spans="1:8" hidden="1" x14ac:dyDescent="0.25">
      <c r="A739" s="158">
        <v>1368</v>
      </c>
      <c r="B739" s="156" t="s">
        <v>759</v>
      </c>
      <c r="C739" s="156" t="s">
        <v>305</v>
      </c>
      <c r="D739" s="156" t="s">
        <v>14</v>
      </c>
      <c r="E739" s="156" t="s">
        <v>20</v>
      </c>
      <c r="F739" s="159">
        <v>18917</v>
      </c>
      <c r="G739" s="159">
        <v>37833</v>
      </c>
      <c r="H739" s="159">
        <v>56750</v>
      </c>
    </row>
    <row r="740" spans="1:8" hidden="1" x14ac:dyDescent="0.25">
      <c r="A740" s="158">
        <v>1369</v>
      </c>
      <c r="B740" s="156" t="s">
        <v>759</v>
      </c>
      <c r="C740" s="156" t="s">
        <v>305</v>
      </c>
      <c r="D740" s="156" t="s">
        <v>21</v>
      </c>
      <c r="E740" s="156" t="s">
        <v>15</v>
      </c>
      <c r="F740" s="159">
        <v>19294</v>
      </c>
      <c r="G740" s="159">
        <v>38589</v>
      </c>
      <c r="H740" s="159">
        <v>57883</v>
      </c>
    </row>
    <row r="741" spans="1:8" hidden="1" x14ac:dyDescent="0.25">
      <c r="A741" s="158">
        <v>1370</v>
      </c>
      <c r="B741" s="156" t="s">
        <v>759</v>
      </c>
      <c r="C741" s="156" t="s">
        <v>305</v>
      </c>
      <c r="D741" s="156" t="s">
        <v>21</v>
      </c>
      <c r="E741" s="156" t="s">
        <v>16</v>
      </c>
      <c r="F741" s="159">
        <v>19681</v>
      </c>
      <c r="G741" s="159">
        <v>39362</v>
      </c>
      <c r="H741" s="159">
        <v>59043</v>
      </c>
    </row>
    <row r="742" spans="1:8" hidden="1" x14ac:dyDescent="0.25">
      <c r="A742" s="158">
        <v>1371</v>
      </c>
      <c r="B742" s="156" t="s">
        <v>759</v>
      </c>
      <c r="C742" s="156" t="s">
        <v>305</v>
      </c>
      <c r="D742" s="156" t="s">
        <v>21</v>
      </c>
      <c r="E742" s="156" t="s">
        <v>17</v>
      </c>
      <c r="F742" s="159">
        <v>20074</v>
      </c>
      <c r="G742" s="159">
        <v>40148</v>
      </c>
      <c r="H742" s="159">
        <v>60221</v>
      </c>
    </row>
    <row r="743" spans="1:8" hidden="1" x14ac:dyDescent="0.25">
      <c r="A743" s="158">
        <v>1372</v>
      </c>
      <c r="B743" s="156" t="s">
        <v>759</v>
      </c>
      <c r="C743" s="156" t="s">
        <v>305</v>
      </c>
      <c r="D743" s="156" t="s">
        <v>21</v>
      </c>
      <c r="E743" s="156" t="s">
        <v>18</v>
      </c>
      <c r="F743" s="159">
        <v>20476</v>
      </c>
      <c r="G743" s="159">
        <v>40951</v>
      </c>
      <c r="H743" s="159">
        <v>61427</v>
      </c>
    </row>
    <row r="744" spans="1:8" hidden="1" x14ac:dyDescent="0.25">
      <c r="A744" s="158">
        <v>1373</v>
      </c>
      <c r="B744" s="156" t="s">
        <v>759</v>
      </c>
      <c r="C744" s="156" t="s">
        <v>305</v>
      </c>
      <c r="D744" s="156" t="s">
        <v>21</v>
      </c>
      <c r="E744" s="156" t="s">
        <v>19</v>
      </c>
      <c r="F744" s="159">
        <v>20885</v>
      </c>
      <c r="G744" s="159">
        <v>41770</v>
      </c>
      <c r="H744" s="159">
        <v>62654</v>
      </c>
    </row>
    <row r="745" spans="1:8" hidden="1" x14ac:dyDescent="0.25">
      <c r="A745" s="158">
        <v>1374</v>
      </c>
      <c r="B745" s="156" t="s">
        <v>759</v>
      </c>
      <c r="C745" s="156" t="s">
        <v>305</v>
      </c>
      <c r="D745" s="156" t="s">
        <v>21</v>
      </c>
      <c r="E745" s="156" t="s">
        <v>20</v>
      </c>
      <c r="F745" s="159">
        <v>21303</v>
      </c>
      <c r="G745" s="159">
        <v>42605</v>
      </c>
      <c r="H745" s="159">
        <v>63908</v>
      </c>
    </row>
    <row r="746" spans="1:8" hidden="1" x14ac:dyDescent="0.25">
      <c r="A746" s="158">
        <v>1375</v>
      </c>
      <c r="B746" s="156" t="s">
        <v>759</v>
      </c>
      <c r="C746" s="156" t="s">
        <v>305</v>
      </c>
      <c r="D746" s="156" t="s">
        <v>203</v>
      </c>
      <c r="E746" s="156" t="s">
        <v>15</v>
      </c>
      <c r="F746" s="159">
        <v>21728</v>
      </c>
      <c r="G746" s="159">
        <v>43457</v>
      </c>
      <c r="H746" s="159">
        <v>65185</v>
      </c>
    </row>
    <row r="747" spans="1:8" hidden="1" x14ac:dyDescent="0.25">
      <c r="A747" s="158">
        <v>1376</v>
      </c>
      <c r="B747" s="156" t="s">
        <v>759</v>
      </c>
      <c r="C747" s="156" t="s">
        <v>305</v>
      </c>
      <c r="D747" s="156" t="s">
        <v>203</v>
      </c>
      <c r="E747" s="156" t="s">
        <v>16</v>
      </c>
      <c r="F747" s="159">
        <v>22164</v>
      </c>
      <c r="G747" s="159">
        <v>44327</v>
      </c>
      <c r="H747" s="159">
        <v>66491</v>
      </c>
    </row>
    <row r="748" spans="1:8" hidden="1" x14ac:dyDescent="0.25">
      <c r="A748" s="158">
        <v>1377</v>
      </c>
      <c r="B748" s="156" t="s">
        <v>759</v>
      </c>
      <c r="C748" s="156" t="s">
        <v>305</v>
      </c>
      <c r="D748" s="156" t="s">
        <v>203</v>
      </c>
      <c r="E748" s="156" t="s">
        <v>17</v>
      </c>
      <c r="F748" s="159">
        <v>22607</v>
      </c>
      <c r="G748" s="159">
        <v>45213</v>
      </c>
      <c r="H748" s="159">
        <v>67820</v>
      </c>
    </row>
    <row r="749" spans="1:8" hidden="1" x14ac:dyDescent="0.25">
      <c r="A749" s="158">
        <v>1378</v>
      </c>
      <c r="B749" s="156" t="s">
        <v>759</v>
      </c>
      <c r="C749" s="156" t="s">
        <v>305</v>
      </c>
      <c r="D749" s="156" t="s">
        <v>203</v>
      </c>
      <c r="E749" s="156" t="s">
        <v>18</v>
      </c>
      <c r="F749" s="159">
        <v>23059</v>
      </c>
      <c r="G749" s="159">
        <v>46118</v>
      </c>
      <c r="H749" s="159">
        <v>69178</v>
      </c>
    </row>
    <row r="750" spans="1:8" hidden="1" x14ac:dyDescent="0.25">
      <c r="A750" s="158">
        <v>1379</v>
      </c>
      <c r="B750" s="156" t="s">
        <v>759</v>
      </c>
      <c r="C750" s="156" t="s">
        <v>305</v>
      </c>
      <c r="D750" s="156" t="s">
        <v>203</v>
      </c>
      <c r="E750" s="156" t="s">
        <v>19</v>
      </c>
      <c r="F750" s="159">
        <v>23520</v>
      </c>
      <c r="G750" s="159">
        <v>47040</v>
      </c>
      <c r="H750" s="159">
        <v>70561</v>
      </c>
    </row>
    <row r="751" spans="1:8" hidden="1" x14ac:dyDescent="0.25">
      <c r="A751" s="158">
        <v>1380</v>
      </c>
      <c r="B751" s="156" t="s">
        <v>759</v>
      </c>
      <c r="C751" s="156" t="s">
        <v>305</v>
      </c>
      <c r="D751" s="156" t="s">
        <v>203</v>
      </c>
      <c r="E751" s="156" t="s">
        <v>20</v>
      </c>
      <c r="F751" s="159">
        <v>23991</v>
      </c>
      <c r="G751" s="159">
        <v>47981</v>
      </c>
      <c r="H751" s="159">
        <v>71972</v>
      </c>
    </row>
    <row r="752" spans="1:8" hidden="1" x14ac:dyDescent="0.25">
      <c r="A752" s="158">
        <v>1381</v>
      </c>
      <c r="B752" s="156" t="s">
        <v>759</v>
      </c>
      <c r="C752" s="156" t="s">
        <v>328</v>
      </c>
      <c r="D752" s="156" t="s">
        <v>14</v>
      </c>
      <c r="E752" s="156" t="s">
        <v>15</v>
      </c>
      <c r="F752" s="159">
        <v>20703</v>
      </c>
      <c r="G752" s="159">
        <v>41407</v>
      </c>
      <c r="H752" s="159">
        <v>62110</v>
      </c>
    </row>
    <row r="753" spans="1:8" hidden="1" x14ac:dyDescent="0.25">
      <c r="A753" s="158">
        <v>1382</v>
      </c>
      <c r="B753" s="156" t="s">
        <v>759</v>
      </c>
      <c r="C753" s="156" t="s">
        <v>328</v>
      </c>
      <c r="D753" s="156" t="s">
        <v>14</v>
      </c>
      <c r="E753" s="156" t="s">
        <v>16</v>
      </c>
      <c r="F753" s="159">
        <v>21118</v>
      </c>
      <c r="G753" s="159">
        <v>42236</v>
      </c>
      <c r="H753" s="159">
        <v>63355</v>
      </c>
    </row>
    <row r="754" spans="1:8" hidden="1" x14ac:dyDescent="0.25">
      <c r="A754" s="158">
        <v>1383</v>
      </c>
      <c r="B754" s="156" t="s">
        <v>759</v>
      </c>
      <c r="C754" s="156" t="s">
        <v>328</v>
      </c>
      <c r="D754" s="156" t="s">
        <v>14</v>
      </c>
      <c r="E754" s="156" t="s">
        <v>17</v>
      </c>
      <c r="F754" s="159">
        <v>21540</v>
      </c>
      <c r="G754" s="159">
        <v>43081</v>
      </c>
      <c r="H754" s="159">
        <v>64621</v>
      </c>
    </row>
    <row r="755" spans="1:8" hidden="1" x14ac:dyDescent="0.25">
      <c r="A755" s="158">
        <v>1384</v>
      </c>
      <c r="B755" s="156" t="s">
        <v>759</v>
      </c>
      <c r="C755" s="156" t="s">
        <v>328</v>
      </c>
      <c r="D755" s="156" t="s">
        <v>14</v>
      </c>
      <c r="E755" s="156" t="s">
        <v>18</v>
      </c>
      <c r="F755" s="159">
        <v>21970</v>
      </c>
      <c r="G755" s="159">
        <v>43941</v>
      </c>
      <c r="H755" s="159">
        <v>65911</v>
      </c>
    </row>
    <row r="756" spans="1:8" hidden="1" x14ac:dyDescent="0.25">
      <c r="A756" s="158">
        <v>1385</v>
      </c>
      <c r="B756" s="156" t="s">
        <v>759</v>
      </c>
      <c r="C756" s="156" t="s">
        <v>328</v>
      </c>
      <c r="D756" s="156" t="s">
        <v>14</v>
      </c>
      <c r="E756" s="156" t="s">
        <v>19</v>
      </c>
      <c r="F756" s="159">
        <v>22410</v>
      </c>
      <c r="G756" s="159">
        <v>44820</v>
      </c>
      <c r="H756" s="159">
        <v>67230</v>
      </c>
    </row>
    <row r="757" spans="1:8" hidden="1" x14ac:dyDescent="0.25">
      <c r="A757" s="158">
        <v>1386</v>
      </c>
      <c r="B757" s="156" t="s">
        <v>759</v>
      </c>
      <c r="C757" s="156" t="s">
        <v>328</v>
      </c>
      <c r="D757" s="156" t="s">
        <v>14</v>
      </c>
      <c r="E757" s="156" t="s">
        <v>20</v>
      </c>
      <c r="F757" s="159">
        <v>22858</v>
      </c>
      <c r="G757" s="159">
        <v>45717</v>
      </c>
      <c r="H757" s="159">
        <v>68575</v>
      </c>
    </row>
    <row r="758" spans="1:8" hidden="1" x14ac:dyDescent="0.25">
      <c r="A758" s="158">
        <v>1387</v>
      </c>
      <c r="B758" s="156" t="s">
        <v>759</v>
      </c>
      <c r="C758" s="156" t="s">
        <v>328</v>
      </c>
      <c r="D758" s="156" t="s">
        <v>21</v>
      </c>
      <c r="E758" s="156" t="s">
        <v>15</v>
      </c>
      <c r="F758" s="159">
        <v>23315</v>
      </c>
      <c r="G758" s="159">
        <v>46631</v>
      </c>
      <c r="H758" s="159">
        <v>69946</v>
      </c>
    </row>
    <row r="759" spans="1:8" hidden="1" x14ac:dyDescent="0.25">
      <c r="A759" s="158">
        <v>1388</v>
      </c>
      <c r="B759" s="156" t="s">
        <v>759</v>
      </c>
      <c r="C759" s="156" t="s">
        <v>328</v>
      </c>
      <c r="D759" s="156" t="s">
        <v>21</v>
      </c>
      <c r="E759" s="156" t="s">
        <v>16</v>
      </c>
      <c r="F759" s="159">
        <v>23782</v>
      </c>
      <c r="G759" s="159">
        <v>47564</v>
      </c>
      <c r="H759" s="159">
        <v>71347</v>
      </c>
    </row>
    <row r="760" spans="1:8" hidden="1" x14ac:dyDescent="0.25">
      <c r="A760" s="158">
        <v>1389</v>
      </c>
      <c r="B760" s="156" t="s">
        <v>759</v>
      </c>
      <c r="C760" s="156" t="s">
        <v>328</v>
      </c>
      <c r="D760" s="156" t="s">
        <v>21</v>
      </c>
      <c r="E760" s="156" t="s">
        <v>17</v>
      </c>
      <c r="F760" s="159">
        <v>24258</v>
      </c>
      <c r="G760" s="159">
        <v>48515</v>
      </c>
      <c r="H760" s="159">
        <v>72773</v>
      </c>
    </row>
    <row r="761" spans="1:8" hidden="1" x14ac:dyDescent="0.25">
      <c r="A761" s="158">
        <v>1390</v>
      </c>
      <c r="B761" s="156" t="s">
        <v>759</v>
      </c>
      <c r="C761" s="156" t="s">
        <v>328</v>
      </c>
      <c r="D761" s="156" t="s">
        <v>21</v>
      </c>
      <c r="E761" s="156" t="s">
        <v>18</v>
      </c>
      <c r="F761" s="159">
        <v>24743</v>
      </c>
      <c r="G761" s="159">
        <v>49486</v>
      </c>
      <c r="H761" s="159">
        <v>74229</v>
      </c>
    </row>
    <row r="762" spans="1:8" hidden="1" x14ac:dyDescent="0.25">
      <c r="A762" s="158">
        <v>1391</v>
      </c>
      <c r="B762" s="156" t="s">
        <v>759</v>
      </c>
      <c r="C762" s="156" t="s">
        <v>328</v>
      </c>
      <c r="D762" s="156" t="s">
        <v>21</v>
      </c>
      <c r="E762" s="156" t="s">
        <v>19</v>
      </c>
      <c r="F762" s="159">
        <v>25237</v>
      </c>
      <c r="G762" s="159">
        <v>50474</v>
      </c>
      <c r="H762" s="159">
        <v>75711</v>
      </c>
    </row>
    <row r="763" spans="1:8" hidden="1" x14ac:dyDescent="0.25">
      <c r="A763" s="158">
        <v>1392</v>
      </c>
      <c r="B763" s="156" t="s">
        <v>759</v>
      </c>
      <c r="C763" s="156" t="s">
        <v>328</v>
      </c>
      <c r="D763" s="156" t="s">
        <v>21</v>
      </c>
      <c r="E763" s="156" t="s">
        <v>20</v>
      </c>
      <c r="F763" s="159">
        <v>25742</v>
      </c>
      <c r="G763" s="159">
        <v>51483</v>
      </c>
      <c r="H763" s="159">
        <v>77225</v>
      </c>
    </row>
    <row r="764" spans="1:8" hidden="1" x14ac:dyDescent="0.25">
      <c r="A764" s="158">
        <v>1393</v>
      </c>
      <c r="B764" s="156" t="s">
        <v>759</v>
      </c>
      <c r="C764" s="156" t="s">
        <v>328</v>
      </c>
      <c r="D764" s="156" t="s">
        <v>203</v>
      </c>
      <c r="E764" s="156" t="s">
        <v>15</v>
      </c>
      <c r="F764" s="159">
        <v>26257</v>
      </c>
      <c r="G764" s="159">
        <v>52515</v>
      </c>
      <c r="H764" s="159">
        <v>78772</v>
      </c>
    </row>
    <row r="765" spans="1:8" hidden="1" x14ac:dyDescent="0.25">
      <c r="A765" s="158">
        <v>1394</v>
      </c>
      <c r="B765" s="156" t="s">
        <v>759</v>
      </c>
      <c r="C765" s="156" t="s">
        <v>328</v>
      </c>
      <c r="D765" s="156" t="s">
        <v>203</v>
      </c>
      <c r="E765" s="156" t="s">
        <v>16</v>
      </c>
      <c r="F765" s="159">
        <v>26782</v>
      </c>
      <c r="G765" s="159">
        <v>53564</v>
      </c>
      <c r="H765" s="159">
        <v>80345</v>
      </c>
    </row>
    <row r="766" spans="1:8" hidden="1" x14ac:dyDescent="0.25">
      <c r="A766" s="158">
        <v>1395</v>
      </c>
      <c r="B766" s="156" t="s">
        <v>759</v>
      </c>
      <c r="C766" s="156" t="s">
        <v>328</v>
      </c>
      <c r="D766" s="156" t="s">
        <v>203</v>
      </c>
      <c r="E766" s="156" t="s">
        <v>17</v>
      </c>
      <c r="F766" s="159">
        <v>27318</v>
      </c>
      <c r="G766" s="159">
        <v>54636</v>
      </c>
      <c r="H766" s="159">
        <v>81954</v>
      </c>
    </row>
    <row r="767" spans="1:8" hidden="1" x14ac:dyDescent="0.25">
      <c r="A767" s="158">
        <v>1396</v>
      </c>
      <c r="B767" s="156" t="s">
        <v>759</v>
      </c>
      <c r="C767" s="156" t="s">
        <v>328</v>
      </c>
      <c r="D767" s="156" t="s">
        <v>203</v>
      </c>
      <c r="E767" s="156" t="s">
        <v>18</v>
      </c>
      <c r="F767" s="159">
        <v>27864</v>
      </c>
      <c r="G767" s="159">
        <v>55728</v>
      </c>
      <c r="H767" s="159">
        <v>83592</v>
      </c>
    </row>
    <row r="768" spans="1:8" hidden="1" x14ac:dyDescent="0.25">
      <c r="A768" s="158">
        <v>1397</v>
      </c>
      <c r="B768" s="156" t="s">
        <v>759</v>
      </c>
      <c r="C768" s="156" t="s">
        <v>328</v>
      </c>
      <c r="D768" s="156" t="s">
        <v>203</v>
      </c>
      <c r="E768" s="156" t="s">
        <v>19</v>
      </c>
      <c r="F768" s="159">
        <v>28421</v>
      </c>
      <c r="G768" s="159">
        <v>56842</v>
      </c>
      <c r="H768" s="159">
        <v>85264</v>
      </c>
    </row>
    <row r="769" spans="1:8" hidden="1" x14ac:dyDescent="0.25">
      <c r="A769" s="158">
        <v>1398</v>
      </c>
      <c r="B769" s="156" t="s">
        <v>759</v>
      </c>
      <c r="C769" s="156" t="s">
        <v>328</v>
      </c>
      <c r="D769" s="156" t="s">
        <v>203</v>
      </c>
      <c r="E769" s="156" t="s">
        <v>20</v>
      </c>
      <c r="F769" s="159">
        <v>28995</v>
      </c>
      <c r="G769" s="159">
        <v>57979</v>
      </c>
      <c r="H769" s="159">
        <v>86969</v>
      </c>
    </row>
    <row r="770" spans="1:8" hidden="1" x14ac:dyDescent="0.25">
      <c r="A770" s="158">
        <v>1399</v>
      </c>
      <c r="B770" s="156" t="s">
        <v>759</v>
      </c>
      <c r="C770" s="156" t="s">
        <v>361</v>
      </c>
      <c r="D770" s="156" t="s">
        <v>14</v>
      </c>
      <c r="E770" s="156" t="s">
        <v>15</v>
      </c>
      <c r="F770" s="159">
        <v>14110</v>
      </c>
      <c r="G770" s="159">
        <v>28219</v>
      </c>
      <c r="H770" s="159">
        <v>42329</v>
      </c>
    </row>
    <row r="771" spans="1:8" hidden="1" x14ac:dyDescent="0.25">
      <c r="A771" s="158">
        <v>1400</v>
      </c>
      <c r="B771" s="156" t="s">
        <v>759</v>
      </c>
      <c r="C771" s="156" t="s">
        <v>361</v>
      </c>
      <c r="D771" s="156" t="s">
        <v>14</v>
      </c>
      <c r="E771" s="156" t="s">
        <v>16</v>
      </c>
      <c r="F771" s="159">
        <v>14392</v>
      </c>
      <c r="G771" s="159">
        <v>28784</v>
      </c>
      <c r="H771" s="159">
        <v>43175</v>
      </c>
    </row>
    <row r="772" spans="1:8" hidden="1" x14ac:dyDescent="0.25">
      <c r="A772" s="158">
        <v>1401</v>
      </c>
      <c r="B772" s="156" t="s">
        <v>759</v>
      </c>
      <c r="C772" s="156" t="s">
        <v>361</v>
      </c>
      <c r="D772" s="156" t="s">
        <v>14</v>
      </c>
      <c r="E772" s="156" t="s">
        <v>17</v>
      </c>
      <c r="F772" s="159">
        <v>14679</v>
      </c>
      <c r="G772" s="159">
        <v>29359</v>
      </c>
      <c r="H772" s="159">
        <v>44038</v>
      </c>
    </row>
    <row r="773" spans="1:8" hidden="1" x14ac:dyDescent="0.25">
      <c r="A773" s="158">
        <v>1402</v>
      </c>
      <c r="B773" s="156" t="s">
        <v>759</v>
      </c>
      <c r="C773" s="156" t="s">
        <v>361</v>
      </c>
      <c r="D773" s="156" t="s">
        <v>14</v>
      </c>
      <c r="E773" s="156" t="s">
        <v>18</v>
      </c>
      <c r="F773" s="159">
        <v>14973</v>
      </c>
      <c r="G773" s="159">
        <v>29945</v>
      </c>
      <c r="H773" s="159">
        <v>44918</v>
      </c>
    </row>
    <row r="774" spans="1:8" hidden="1" x14ac:dyDescent="0.25">
      <c r="A774" s="158">
        <v>1403</v>
      </c>
      <c r="B774" s="156" t="s">
        <v>759</v>
      </c>
      <c r="C774" s="156" t="s">
        <v>361</v>
      </c>
      <c r="D774" s="156" t="s">
        <v>14</v>
      </c>
      <c r="E774" s="156" t="s">
        <v>19</v>
      </c>
      <c r="F774" s="159">
        <v>15272</v>
      </c>
      <c r="G774" s="159">
        <v>30544</v>
      </c>
      <c r="H774" s="159">
        <v>45817</v>
      </c>
    </row>
    <row r="775" spans="1:8" hidden="1" x14ac:dyDescent="0.25">
      <c r="A775" s="158">
        <v>1404</v>
      </c>
      <c r="B775" s="156" t="s">
        <v>759</v>
      </c>
      <c r="C775" s="156" t="s">
        <v>361</v>
      </c>
      <c r="D775" s="156" t="s">
        <v>14</v>
      </c>
      <c r="E775" s="156" t="s">
        <v>20</v>
      </c>
      <c r="F775" s="159">
        <v>15578</v>
      </c>
      <c r="G775" s="159">
        <v>31157</v>
      </c>
      <c r="H775" s="159">
        <v>46735</v>
      </c>
    </row>
    <row r="776" spans="1:8" hidden="1" x14ac:dyDescent="0.25">
      <c r="A776" s="158">
        <v>1405</v>
      </c>
      <c r="B776" s="156" t="s">
        <v>759</v>
      </c>
      <c r="C776" s="156" t="s">
        <v>361</v>
      </c>
      <c r="D776" s="156" t="s">
        <v>21</v>
      </c>
      <c r="E776" s="156" t="s">
        <v>15</v>
      </c>
      <c r="F776" s="159">
        <v>15889</v>
      </c>
      <c r="G776" s="159">
        <v>31778</v>
      </c>
      <c r="H776" s="159">
        <v>47667</v>
      </c>
    </row>
    <row r="777" spans="1:8" hidden="1" x14ac:dyDescent="0.25">
      <c r="A777" s="158">
        <v>1406</v>
      </c>
      <c r="B777" s="156" t="s">
        <v>759</v>
      </c>
      <c r="C777" s="156" t="s">
        <v>361</v>
      </c>
      <c r="D777" s="156" t="s">
        <v>21</v>
      </c>
      <c r="E777" s="156" t="s">
        <v>16</v>
      </c>
      <c r="F777" s="159">
        <v>16207</v>
      </c>
      <c r="G777" s="159">
        <v>32414</v>
      </c>
      <c r="H777" s="159">
        <v>48621</v>
      </c>
    </row>
    <row r="778" spans="1:8" hidden="1" x14ac:dyDescent="0.25">
      <c r="A778" s="158">
        <v>1407</v>
      </c>
      <c r="B778" s="156" t="s">
        <v>759</v>
      </c>
      <c r="C778" s="156" t="s">
        <v>361</v>
      </c>
      <c r="D778" s="156" t="s">
        <v>21</v>
      </c>
      <c r="E778" s="156" t="s">
        <v>17</v>
      </c>
      <c r="F778" s="159">
        <v>16532</v>
      </c>
      <c r="G778" s="159">
        <v>33063</v>
      </c>
      <c r="H778" s="159">
        <v>49595</v>
      </c>
    </row>
    <row r="779" spans="1:8" hidden="1" x14ac:dyDescent="0.25">
      <c r="A779" s="158">
        <v>1408</v>
      </c>
      <c r="B779" s="156" t="s">
        <v>759</v>
      </c>
      <c r="C779" s="156" t="s">
        <v>361</v>
      </c>
      <c r="D779" s="156" t="s">
        <v>21</v>
      </c>
      <c r="E779" s="156" t="s">
        <v>18</v>
      </c>
      <c r="F779" s="159">
        <v>16862</v>
      </c>
      <c r="G779" s="159">
        <v>33723</v>
      </c>
      <c r="H779" s="159">
        <v>50585</v>
      </c>
    </row>
    <row r="780" spans="1:8" hidden="1" x14ac:dyDescent="0.25">
      <c r="A780" s="158">
        <v>1409</v>
      </c>
      <c r="B780" s="156" t="s">
        <v>759</v>
      </c>
      <c r="C780" s="156" t="s">
        <v>361</v>
      </c>
      <c r="D780" s="156" t="s">
        <v>21</v>
      </c>
      <c r="E780" s="156" t="s">
        <v>19</v>
      </c>
      <c r="F780" s="159">
        <v>17199</v>
      </c>
      <c r="G780" s="159">
        <v>34398</v>
      </c>
      <c r="H780" s="159">
        <v>51597</v>
      </c>
    </row>
    <row r="781" spans="1:8" hidden="1" x14ac:dyDescent="0.25">
      <c r="A781" s="158">
        <v>1410</v>
      </c>
      <c r="B781" s="156" t="s">
        <v>759</v>
      </c>
      <c r="C781" s="156" t="s">
        <v>361</v>
      </c>
      <c r="D781" s="156" t="s">
        <v>21</v>
      </c>
      <c r="E781" s="156" t="s">
        <v>20</v>
      </c>
      <c r="F781" s="159">
        <v>17543</v>
      </c>
      <c r="G781" s="159">
        <v>35087</v>
      </c>
      <c r="H781" s="159">
        <v>52630</v>
      </c>
    </row>
    <row r="782" spans="1:8" hidden="1" x14ac:dyDescent="0.25">
      <c r="A782" s="158">
        <v>1411</v>
      </c>
      <c r="B782" s="156" t="s">
        <v>759</v>
      </c>
      <c r="C782" s="156" t="s">
        <v>361</v>
      </c>
      <c r="D782" s="156" t="s">
        <v>203</v>
      </c>
      <c r="E782" s="156" t="s">
        <v>15</v>
      </c>
      <c r="F782" s="159">
        <v>17894</v>
      </c>
      <c r="G782" s="159">
        <v>35788</v>
      </c>
      <c r="H782" s="159">
        <v>53682</v>
      </c>
    </row>
    <row r="783" spans="1:8" hidden="1" x14ac:dyDescent="0.25">
      <c r="A783" s="158">
        <v>1412</v>
      </c>
      <c r="B783" s="156" t="s">
        <v>759</v>
      </c>
      <c r="C783" s="156" t="s">
        <v>361</v>
      </c>
      <c r="D783" s="156" t="s">
        <v>203</v>
      </c>
      <c r="E783" s="156" t="s">
        <v>16</v>
      </c>
      <c r="F783" s="159">
        <v>18252</v>
      </c>
      <c r="G783" s="159">
        <v>36504</v>
      </c>
      <c r="H783" s="159">
        <v>54757</v>
      </c>
    </row>
    <row r="784" spans="1:8" hidden="1" x14ac:dyDescent="0.25">
      <c r="A784" s="158">
        <v>1413</v>
      </c>
      <c r="B784" s="156" t="s">
        <v>759</v>
      </c>
      <c r="C784" s="156" t="s">
        <v>361</v>
      </c>
      <c r="D784" s="156" t="s">
        <v>203</v>
      </c>
      <c r="E784" s="156" t="s">
        <v>17</v>
      </c>
      <c r="F784" s="159">
        <v>18617</v>
      </c>
      <c r="G784" s="159">
        <v>37234</v>
      </c>
      <c r="H784" s="159">
        <v>55851</v>
      </c>
    </row>
    <row r="785" spans="1:8" hidden="1" x14ac:dyDescent="0.25">
      <c r="A785" s="158">
        <v>1414</v>
      </c>
      <c r="B785" s="156" t="s">
        <v>759</v>
      </c>
      <c r="C785" s="156" t="s">
        <v>361</v>
      </c>
      <c r="D785" s="156" t="s">
        <v>203</v>
      </c>
      <c r="E785" s="156" t="s">
        <v>18</v>
      </c>
      <c r="F785" s="159">
        <v>18989</v>
      </c>
      <c r="G785" s="159">
        <v>37979</v>
      </c>
      <c r="H785" s="159">
        <v>56968</v>
      </c>
    </row>
    <row r="786" spans="1:8" hidden="1" x14ac:dyDescent="0.25">
      <c r="A786" s="158">
        <v>1415</v>
      </c>
      <c r="B786" s="156" t="s">
        <v>759</v>
      </c>
      <c r="C786" s="156" t="s">
        <v>361</v>
      </c>
      <c r="D786" s="156" t="s">
        <v>203</v>
      </c>
      <c r="E786" s="156" t="s">
        <v>19</v>
      </c>
      <c r="F786" s="159">
        <v>19368</v>
      </c>
      <c r="G786" s="159">
        <v>38737</v>
      </c>
      <c r="H786" s="159">
        <v>58107</v>
      </c>
    </row>
    <row r="787" spans="1:8" hidden="1" x14ac:dyDescent="0.25">
      <c r="A787" s="158">
        <v>1416</v>
      </c>
      <c r="B787" s="156" t="s">
        <v>759</v>
      </c>
      <c r="C787" s="156" t="s">
        <v>361</v>
      </c>
      <c r="D787" s="156" t="s">
        <v>203</v>
      </c>
      <c r="E787" s="156" t="s">
        <v>20</v>
      </c>
      <c r="F787" s="159">
        <v>19756</v>
      </c>
      <c r="G787" s="159">
        <v>39513</v>
      </c>
      <c r="H787" s="159">
        <v>59269</v>
      </c>
    </row>
    <row r="788" spans="1:8" hidden="1" x14ac:dyDescent="0.25">
      <c r="A788" s="158">
        <v>1417</v>
      </c>
      <c r="B788" s="156" t="s">
        <v>759</v>
      </c>
      <c r="C788" s="156" t="s">
        <v>262</v>
      </c>
      <c r="D788" s="156" t="s">
        <v>14</v>
      </c>
      <c r="E788" s="156" t="s">
        <v>15</v>
      </c>
      <c r="F788" s="159">
        <v>11950</v>
      </c>
      <c r="G788" s="159">
        <v>23901</v>
      </c>
      <c r="H788" s="159">
        <v>35851</v>
      </c>
    </row>
    <row r="789" spans="1:8" hidden="1" x14ac:dyDescent="0.25">
      <c r="A789" s="158">
        <v>1418</v>
      </c>
      <c r="B789" s="156" t="s">
        <v>759</v>
      </c>
      <c r="C789" s="156" t="s">
        <v>262</v>
      </c>
      <c r="D789" s="156" t="s">
        <v>14</v>
      </c>
      <c r="E789" s="156" t="s">
        <v>16</v>
      </c>
      <c r="F789" s="159">
        <v>12189</v>
      </c>
      <c r="G789" s="159">
        <v>24378</v>
      </c>
      <c r="H789" s="159">
        <v>36567</v>
      </c>
    </row>
    <row r="790" spans="1:8" hidden="1" x14ac:dyDescent="0.25">
      <c r="A790" s="158">
        <v>1419</v>
      </c>
      <c r="B790" s="156" t="s">
        <v>759</v>
      </c>
      <c r="C790" s="156" t="s">
        <v>262</v>
      </c>
      <c r="D790" s="156" t="s">
        <v>14</v>
      </c>
      <c r="E790" s="156" t="s">
        <v>17</v>
      </c>
      <c r="F790" s="159">
        <v>12433</v>
      </c>
      <c r="G790" s="159">
        <v>24867</v>
      </c>
      <c r="H790" s="159">
        <v>37300</v>
      </c>
    </row>
    <row r="791" spans="1:8" hidden="1" x14ac:dyDescent="0.25">
      <c r="A791" s="158">
        <v>1420</v>
      </c>
      <c r="B791" s="156" t="s">
        <v>759</v>
      </c>
      <c r="C791" s="156" t="s">
        <v>262</v>
      </c>
      <c r="D791" s="156" t="s">
        <v>14</v>
      </c>
      <c r="E791" s="156" t="s">
        <v>18</v>
      </c>
      <c r="F791" s="159">
        <v>12682</v>
      </c>
      <c r="G791" s="159">
        <v>25364</v>
      </c>
      <c r="H791" s="159">
        <v>38046</v>
      </c>
    </row>
    <row r="792" spans="1:8" hidden="1" x14ac:dyDescent="0.25">
      <c r="A792" s="158">
        <v>1421</v>
      </c>
      <c r="B792" s="156" t="s">
        <v>759</v>
      </c>
      <c r="C792" s="156" t="s">
        <v>262</v>
      </c>
      <c r="D792" s="156" t="s">
        <v>14</v>
      </c>
      <c r="E792" s="156" t="s">
        <v>19</v>
      </c>
      <c r="F792" s="159">
        <v>12935</v>
      </c>
      <c r="G792" s="159">
        <v>25870</v>
      </c>
      <c r="H792" s="159">
        <v>38805</v>
      </c>
    </row>
    <row r="793" spans="1:8" hidden="1" x14ac:dyDescent="0.25">
      <c r="A793" s="158">
        <v>1422</v>
      </c>
      <c r="B793" s="156" t="s">
        <v>759</v>
      </c>
      <c r="C793" s="156" t="s">
        <v>262</v>
      </c>
      <c r="D793" s="156" t="s">
        <v>14</v>
      </c>
      <c r="E793" s="156" t="s">
        <v>20</v>
      </c>
      <c r="F793" s="159">
        <v>13194</v>
      </c>
      <c r="G793" s="159">
        <v>26389</v>
      </c>
      <c r="H793" s="159">
        <v>39583</v>
      </c>
    </row>
    <row r="794" spans="1:8" hidden="1" x14ac:dyDescent="0.25">
      <c r="A794" s="158">
        <v>1423</v>
      </c>
      <c r="B794" s="156" t="s">
        <v>759</v>
      </c>
      <c r="C794" s="156" t="s">
        <v>262</v>
      </c>
      <c r="D794" s="156" t="s">
        <v>21</v>
      </c>
      <c r="E794" s="156" t="s">
        <v>15</v>
      </c>
      <c r="F794" s="159">
        <v>13458</v>
      </c>
      <c r="G794" s="159">
        <v>26916</v>
      </c>
      <c r="H794" s="159">
        <v>40375</v>
      </c>
    </row>
    <row r="795" spans="1:8" hidden="1" x14ac:dyDescent="0.25">
      <c r="A795" s="158">
        <v>1424</v>
      </c>
      <c r="B795" s="156" t="s">
        <v>759</v>
      </c>
      <c r="C795" s="156" t="s">
        <v>262</v>
      </c>
      <c r="D795" s="156" t="s">
        <v>21</v>
      </c>
      <c r="E795" s="156" t="s">
        <v>16</v>
      </c>
      <c r="F795" s="159">
        <v>13727</v>
      </c>
      <c r="G795" s="159">
        <v>27455</v>
      </c>
      <c r="H795" s="159">
        <v>41182</v>
      </c>
    </row>
    <row r="796" spans="1:8" hidden="1" x14ac:dyDescent="0.25">
      <c r="A796" s="158">
        <v>1425</v>
      </c>
      <c r="B796" s="156" t="s">
        <v>759</v>
      </c>
      <c r="C796" s="156" t="s">
        <v>262</v>
      </c>
      <c r="D796" s="156" t="s">
        <v>21</v>
      </c>
      <c r="E796" s="156" t="s">
        <v>17</v>
      </c>
      <c r="F796" s="159">
        <v>14001</v>
      </c>
      <c r="G796" s="159">
        <v>28002</v>
      </c>
      <c r="H796" s="159">
        <v>42003</v>
      </c>
    </row>
    <row r="797" spans="1:8" hidden="1" x14ac:dyDescent="0.25">
      <c r="A797" s="158">
        <v>1426</v>
      </c>
      <c r="B797" s="156" t="s">
        <v>759</v>
      </c>
      <c r="C797" s="156" t="s">
        <v>262</v>
      </c>
      <c r="D797" s="156" t="s">
        <v>21</v>
      </c>
      <c r="E797" s="156" t="s">
        <v>18</v>
      </c>
      <c r="F797" s="159">
        <v>14282</v>
      </c>
      <c r="G797" s="159">
        <v>28564</v>
      </c>
      <c r="H797" s="159">
        <v>42846</v>
      </c>
    </row>
    <row r="798" spans="1:8" hidden="1" x14ac:dyDescent="0.25">
      <c r="A798" s="158">
        <v>1427</v>
      </c>
      <c r="B798" s="156" t="s">
        <v>759</v>
      </c>
      <c r="C798" s="156" t="s">
        <v>262</v>
      </c>
      <c r="D798" s="156" t="s">
        <v>21</v>
      </c>
      <c r="E798" s="156" t="s">
        <v>19</v>
      </c>
      <c r="F798" s="159">
        <v>14568</v>
      </c>
      <c r="G798" s="159">
        <v>29135</v>
      </c>
      <c r="H798" s="159">
        <v>43703</v>
      </c>
    </row>
    <row r="799" spans="1:8" hidden="1" x14ac:dyDescent="0.25">
      <c r="A799" s="158">
        <v>1428</v>
      </c>
      <c r="B799" s="156" t="s">
        <v>759</v>
      </c>
      <c r="C799" s="156" t="s">
        <v>262</v>
      </c>
      <c r="D799" s="156" t="s">
        <v>21</v>
      </c>
      <c r="E799" s="156" t="s">
        <v>20</v>
      </c>
      <c r="F799" s="159">
        <v>14859</v>
      </c>
      <c r="G799" s="159">
        <v>29717</v>
      </c>
      <c r="H799" s="159">
        <v>44576</v>
      </c>
    </row>
    <row r="800" spans="1:8" hidden="1" x14ac:dyDescent="0.25">
      <c r="A800" s="158">
        <v>1429</v>
      </c>
      <c r="B800" s="156" t="s">
        <v>759</v>
      </c>
      <c r="C800" s="156" t="s">
        <v>262</v>
      </c>
      <c r="D800" s="156" t="s">
        <v>203</v>
      </c>
      <c r="E800" s="156" t="s">
        <v>15</v>
      </c>
      <c r="F800" s="159">
        <v>15156</v>
      </c>
      <c r="G800" s="159">
        <v>30312</v>
      </c>
      <c r="H800" s="159">
        <v>45468</v>
      </c>
    </row>
    <row r="801" spans="1:8" hidden="1" x14ac:dyDescent="0.25">
      <c r="A801" s="158">
        <v>1430</v>
      </c>
      <c r="B801" s="156" t="s">
        <v>759</v>
      </c>
      <c r="C801" s="156" t="s">
        <v>262</v>
      </c>
      <c r="D801" s="156" t="s">
        <v>203</v>
      </c>
      <c r="E801" s="156" t="s">
        <v>16</v>
      </c>
      <c r="F801" s="159">
        <v>15459</v>
      </c>
      <c r="G801" s="159">
        <v>30918</v>
      </c>
      <c r="H801" s="159">
        <v>46377</v>
      </c>
    </row>
    <row r="802" spans="1:8" hidden="1" x14ac:dyDescent="0.25">
      <c r="A802" s="158">
        <v>1431</v>
      </c>
      <c r="B802" s="156" t="s">
        <v>759</v>
      </c>
      <c r="C802" s="156" t="s">
        <v>262</v>
      </c>
      <c r="D802" s="156" t="s">
        <v>203</v>
      </c>
      <c r="E802" s="156" t="s">
        <v>17</v>
      </c>
      <c r="F802" s="159">
        <v>15768</v>
      </c>
      <c r="G802" s="159">
        <v>31537</v>
      </c>
      <c r="H802" s="159">
        <v>47305</v>
      </c>
    </row>
    <row r="803" spans="1:8" hidden="1" x14ac:dyDescent="0.25">
      <c r="A803" s="158">
        <v>1432</v>
      </c>
      <c r="B803" s="156" t="s">
        <v>759</v>
      </c>
      <c r="C803" s="156" t="s">
        <v>262</v>
      </c>
      <c r="D803" s="156" t="s">
        <v>203</v>
      </c>
      <c r="E803" s="156" t="s">
        <v>18</v>
      </c>
      <c r="F803" s="159">
        <v>16083</v>
      </c>
      <c r="G803" s="159">
        <v>32166</v>
      </c>
      <c r="H803" s="159">
        <v>48249</v>
      </c>
    </row>
    <row r="804" spans="1:8" hidden="1" x14ac:dyDescent="0.25">
      <c r="A804" s="158">
        <v>1433</v>
      </c>
      <c r="B804" s="156" t="s">
        <v>759</v>
      </c>
      <c r="C804" s="156" t="s">
        <v>262</v>
      </c>
      <c r="D804" s="156" t="s">
        <v>203</v>
      </c>
      <c r="E804" s="156" t="s">
        <v>19</v>
      </c>
      <c r="F804" s="159">
        <v>16405</v>
      </c>
      <c r="G804" s="159">
        <v>32809</v>
      </c>
      <c r="H804" s="159">
        <v>49214</v>
      </c>
    </row>
    <row r="805" spans="1:8" hidden="1" x14ac:dyDescent="0.25">
      <c r="A805" s="158">
        <v>1434</v>
      </c>
      <c r="B805" s="156" t="s">
        <v>759</v>
      </c>
      <c r="C805" s="156" t="s">
        <v>262</v>
      </c>
      <c r="D805" s="156" t="s">
        <v>203</v>
      </c>
      <c r="E805" s="156" t="s">
        <v>20</v>
      </c>
      <c r="F805" s="159">
        <v>16732</v>
      </c>
      <c r="G805" s="159">
        <v>33466</v>
      </c>
      <c r="H805" s="159">
        <v>50198</v>
      </c>
    </row>
    <row r="806" spans="1:8" hidden="1" x14ac:dyDescent="0.25">
      <c r="A806" s="158">
        <v>1435</v>
      </c>
      <c r="B806" s="156" t="s">
        <v>759</v>
      </c>
      <c r="C806" s="156" t="s">
        <v>359</v>
      </c>
      <c r="D806" s="156" t="s">
        <v>14</v>
      </c>
      <c r="E806" s="156" t="s">
        <v>15</v>
      </c>
      <c r="F806" s="159">
        <v>11950</v>
      </c>
      <c r="G806" s="159">
        <v>23901</v>
      </c>
      <c r="H806" s="159">
        <v>35851</v>
      </c>
    </row>
    <row r="807" spans="1:8" hidden="1" x14ac:dyDescent="0.25">
      <c r="A807" s="158">
        <v>1436</v>
      </c>
      <c r="B807" s="156" t="s">
        <v>759</v>
      </c>
      <c r="C807" s="156" t="s">
        <v>359</v>
      </c>
      <c r="D807" s="156" t="s">
        <v>14</v>
      </c>
      <c r="E807" s="156" t="s">
        <v>16</v>
      </c>
      <c r="F807" s="159">
        <v>12189</v>
      </c>
      <c r="G807" s="159">
        <v>24378</v>
      </c>
      <c r="H807" s="159">
        <v>36567</v>
      </c>
    </row>
    <row r="808" spans="1:8" hidden="1" x14ac:dyDescent="0.25">
      <c r="A808" s="158">
        <v>1437</v>
      </c>
      <c r="B808" s="156" t="s">
        <v>759</v>
      </c>
      <c r="C808" s="156" t="s">
        <v>359</v>
      </c>
      <c r="D808" s="156" t="s">
        <v>14</v>
      </c>
      <c r="E808" s="156" t="s">
        <v>17</v>
      </c>
      <c r="F808" s="159">
        <v>12433</v>
      </c>
      <c r="G808" s="159">
        <v>24867</v>
      </c>
      <c r="H808" s="159">
        <v>37300</v>
      </c>
    </row>
    <row r="809" spans="1:8" hidden="1" x14ac:dyDescent="0.25">
      <c r="A809" s="158">
        <v>1438</v>
      </c>
      <c r="B809" s="156" t="s">
        <v>759</v>
      </c>
      <c r="C809" s="156" t="s">
        <v>359</v>
      </c>
      <c r="D809" s="156" t="s">
        <v>14</v>
      </c>
      <c r="E809" s="156" t="s">
        <v>18</v>
      </c>
      <c r="F809" s="159">
        <v>12682</v>
      </c>
      <c r="G809" s="159">
        <v>25364</v>
      </c>
      <c r="H809" s="159">
        <v>38046</v>
      </c>
    </row>
    <row r="810" spans="1:8" hidden="1" x14ac:dyDescent="0.25">
      <c r="A810" s="158">
        <v>1439</v>
      </c>
      <c r="B810" s="156" t="s">
        <v>759</v>
      </c>
      <c r="C810" s="156" t="s">
        <v>359</v>
      </c>
      <c r="D810" s="156" t="s">
        <v>14</v>
      </c>
      <c r="E810" s="156" t="s">
        <v>19</v>
      </c>
      <c r="F810" s="159">
        <v>12935</v>
      </c>
      <c r="G810" s="159">
        <v>25870</v>
      </c>
      <c r="H810" s="159">
        <v>38805</v>
      </c>
    </row>
    <row r="811" spans="1:8" hidden="1" x14ac:dyDescent="0.25">
      <c r="A811" s="158">
        <v>1440</v>
      </c>
      <c r="B811" s="156" t="s">
        <v>759</v>
      </c>
      <c r="C811" s="156" t="s">
        <v>359</v>
      </c>
      <c r="D811" s="156" t="s">
        <v>14</v>
      </c>
      <c r="E811" s="156" t="s">
        <v>20</v>
      </c>
      <c r="F811" s="159">
        <v>13194</v>
      </c>
      <c r="G811" s="159">
        <v>26389</v>
      </c>
      <c r="H811" s="159">
        <v>39583</v>
      </c>
    </row>
    <row r="812" spans="1:8" hidden="1" x14ac:dyDescent="0.25">
      <c r="A812" s="158">
        <v>1441</v>
      </c>
      <c r="B812" s="156" t="s">
        <v>759</v>
      </c>
      <c r="C812" s="156" t="s">
        <v>359</v>
      </c>
      <c r="D812" s="156" t="s">
        <v>21</v>
      </c>
      <c r="E812" s="156" t="s">
        <v>15</v>
      </c>
      <c r="F812" s="159">
        <v>13458</v>
      </c>
      <c r="G812" s="159">
        <v>26916</v>
      </c>
      <c r="H812" s="159">
        <v>40375</v>
      </c>
    </row>
    <row r="813" spans="1:8" hidden="1" x14ac:dyDescent="0.25">
      <c r="A813" s="158">
        <v>1442</v>
      </c>
      <c r="B813" s="156" t="s">
        <v>759</v>
      </c>
      <c r="C813" s="156" t="s">
        <v>359</v>
      </c>
      <c r="D813" s="156" t="s">
        <v>21</v>
      </c>
      <c r="E813" s="156" t="s">
        <v>16</v>
      </c>
      <c r="F813" s="159">
        <v>13727</v>
      </c>
      <c r="G813" s="159">
        <v>27455</v>
      </c>
      <c r="H813" s="159">
        <v>41182</v>
      </c>
    </row>
    <row r="814" spans="1:8" hidden="1" x14ac:dyDescent="0.25">
      <c r="A814" s="158">
        <v>1443</v>
      </c>
      <c r="B814" s="156" t="s">
        <v>759</v>
      </c>
      <c r="C814" s="156" t="s">
        <v>359</v>
      </c>
      <c r="D814" s="156" t="s">
        <v>21</v>
      </c>
      <c r="E814" s="156" t="s">
        <v>17</v>
      </c>
      <c r="F814" s="159">
        <v>14001</v>
      </c>
      <c r="G814" s="159">
        <v>28002</v>
      </c>
      <c r="H814" s="159">
        <v>42003</v>
      </c>
    </row>
    <row r="815" spans="1:8" hidden="1" x14ac:dyDescent="0.25">
      <c r="A815" s="158">
        <v>1444</v>
      </c>
      <c r="B815" s="156" t="s">
        <v>759</v>
      </c>
      <c r="C815" s="156" t="s">
        <v>359</v>
      </c>
      <c r="D815" s="156" t="s">
        <v>21</v>
      </c>
      <c r="E815" s="156" t="s">
        <v>18</v>
      </c>
      <c r="F815" s="159">
        <v>14282</v>
      </c>
      <c r="G815" s="159">
        <v>28564</v>
      </c>
      <c r="H815" s="159">
        <v>42846</v>
      </c>
    </row>
    <row r="816" spans="1:8" hidden="1" x14ac:dyDescent="0.25">
      <c r="A816" s="158">
        <v>1445</v>
      </c>
      <c r="B816" s="156" t="s">
        <v>759</v>
      </c>
      <c r="C816" s="156" t="s">
        <v>359</v>
      </c>
      <c r="D816" s="156" t="s">
        <v>21</v>
      </c>
      <c r="E816" s="156" t="s">
        <v>19</v>
      </c>
      <c r="F816" s="159">
        <v>14568</v>
      </c>
      <c r="G816" s="159">
        <v>29135</v>
      </c>
      <c r="H816" s="159">
        <v>43703</v>
      </c>
    </row>
    <row r="817" spans="1:8" hidden="1" x14ac:dyDescent="0.25">
      <c r="A817" s="158">
        <v>1446</v>
      </c>
      <c r="B817" s="156" t="s">
        <v>759</v>
      </c>
      <c r="C817" s="156" t="s">
        <v>359</v>
      </c>
      <c r="D817" s="156" t="s">
        <v>21</v>
      </c>
      <c r="E817" s="156" t="s">
        <v>20</v>
      </c>
      <c r="F817" s="159">
        <v>14859</v>
      </c>
      <c r="G817" s="159">
        <v>29717</v>
      </c>
      <c r="H817" s="159">
        <v>44576</v>
      </c>
    </row>
    <row r="818" spans="1:8" hidden="1" x14ac:dyDescent="0.25">
      <c r="A818" s="158">
        <v>1447</v>
      </c>
      <c r="B818" s="156" t="s">
        <v>759</v>
      </c>
      <c r="C818" s="156" t="s">
        <v>359</v>
      </c>
      <c r="D818" s="156" t="s">
        <v>203</v>
      </c>
      <c r="E818" s="156" t="s">
        <v>15</v>
      </c>
      <c r="F818" s="159">
        <v>15156</v>
      </c>
      <c r="G818" s="159">
        <v>30312</v>
      </c>
      <c r="H818" s="159">
        <v>45468</v>
      </c>
    </row>
    <row r="819" spans="1:8" hidden="1" x14ac:dyDescent="0.25">
      <c r="A819" s="158">
        <v>1448</v>
      </c>
      <c r="B819" s="156" t="s">
        <v>759</v>
      </c>
      <c r="C819" s="156" t="s">
        <v>359</v>
      </c>
      <c r="D819" s="156" t="s">
        <v>203</v>
      </c>
      <c r="E819" s="156" t="s">
        <v>16</v>
      </c>
      <c r="F819" s="159">
        <v>15459</v>
      </c>
      <c r="G819" s="159">
        <v>30918</v>
      </c>
      <c r="H819" s="159">
        <v>46377</v>
      </c>
    </row>
    <row r="820" spans="1:8" hidden="1" x14ac:dyDescent="0.25">
      <c r="A820" s="158">
        <v>1449</v>
      </c>
      <c r="B820" s="156" t="s">
        <v>759</v>
      </c>
      <c r="C820" s="156" t="s">
        <v>359</v>
      </c>
      <c r="D820" s="156" t="s">
        <v>203</v>
      </c>
      <c r="E820" s="156" t="s">
        <v>17</v>
      </c>
      <c r="F820" s="159">
        <v>15768</v>
      </c>
      <c r="G820" s="159">
        <v>31537</v>
      </c>
      <c r="H820" s="159">
        <v>47305</v>
      </c>
    </row>
    <row r="821" spans="1:8" hidden="1" x14ac:dyDescent="0.25">
      <c r="A821" s="158">
        <v>1450</v>
      </c>
      <c r="B821" s="156" t="s">
        <v>759</v>
      </c>
      <c r="C821" s="156" t="s">
        <v>359</v>
      </c>
      <c r="D821" s="156" t="s">
        <v>203</v>
      </c>
      <c r="E821" s="156" t="s">
        <v>18</v>
      </c>
      <c r="F821" s="159">
        <v>16083</v>
      </c>
      <c r="G821" s="159">
        <v>32166</v>
      </c>
      <c r="H821" s="159">
        <v>48249</v>
      </c>
    </row>
    <row r="822" spans="1:8" hidden="1" x14ac:dyDescent="0.25">
      <c r="A822" s="158">
        <v>1451</v>
      </c>
      <c r="B822" s="156" t="s">
        <v>759</v>
      </c>
      <c r="C822" s="156" t="s">
        <v>359</v>
      </c>
      <c r="D822" s="156" t="s">
        <v>203</v>
      </c>
      <c r="E822" s="156" t="s">
        <v>19</v>
      </c>
      <c r="F822" s="159">
        <v>16405</v>
      </c>
      <c r="G822" s="159">
        <v>32809</v>
      </c>
      <c r="H822" s="159">
        <v>49214</v>
      </c>
    </row>
    <row r="823" spans="1:8" hidden="1" x14ac:dyDescent="0.25">
      <c r="A823" s="158">
        <v>1452</v>
      </c>
      <c r="B823" s="156" t="s">
        <v>759</v>
      </c>
      <c r="C823" s="156" t="s">
        <v>359</v>
      </c>
      <c r="D823" s="156" t="s">
        <v>203</v>
      </c>
      <c r="E823" s="156" t="s">
        <v>20</v>
      </c>
      <c r="F823" s="159">
        <v>16732</v>
      </c>
      <c r="G823" s="159">
        <v>33466</v>
      </c>
      <c r="H823" s="159">
        <v>50198</v>
      </c>
    </row>
    <row r="824" spans="1:8" hidden="1" x14ac:dyDescent="0.25">
      <c r="A824" s="158">
        <v>1453</v>
      </c>
      <c r="B824" s="156" t="s">
        <v>759</v>
      </c>
      <c r="C824" s="156" t="s">
        <v>360</v>
      </c>
      <c r="D824" s="156" t="s">
        <v>14</v>
      </c>
      <c r="E824" s="156" t="s">
        <v>15</v>
      </c>
      <c r="F824" s="159">
        <v>11950</v>
      </c>
      <c r="G824" s="159">
        <v>23901</v>
      </c>
      <c r="H824" s="159">
        <v>35851</v>
      </c>
    </row>
    <row r="825" spans="1:8" hidden="1" x14ac:dyDescent="0.25">
      <c r="A825" s="158">
        <v>1454</v>
      </c>
      <c r="B825" s="156" t="s">
        <v>759</v>
      </c>
      <c r="C825" s="156" t="s">
        <v>360</v>
      </c>
      <c r="D825" s="156" t="s">
        <v>14</v>
      </c>
      <c r="E825" s="156" t="s">
        <v>16</v>
      </c>
      <c r="F825" s="159">
        <v>12189</v>
      </c>
      <c r="G825" s="159">
        <v>24378</v>
      </c>
      <c r="H825" s="159">
        <v>36567</v>
      </c>
    </row>
    <row r="826" spans="1:8" hidden="1" x14ac:dyDescent="0.25">
      <c r="A826" s="158">
        <v>1455</v>
      </c>
      <c r="B826" s="156" t="s">
        <v>759</v>
      </c>
      <c r="C826" s="156" t="s">
        <v>360</v>
      </c>
      <c r="D826" s="156" t="s">
        <v>14</v>
      </c>
      <c r="E826" s="156" t="s">
        <v>17</v>
      </c>
      <c r="F826" s="159">
        <v>12433</v>
      </c>
      <c r="G826" s="159">
        <v>24867</v>
      </c>
      <c r="H826" s="159">
        <v>37300</v>
      </c>
    </row>
    <row r="827" spans="1:8" hidden="1" x14ac:dyDescent="0.25">
      <c r="A827" s="158">
        <v>1456</v>
      </c>
      <c r="B827" s="156" t="s">
        <v>759</v>
      </c>
      <c r="C827" s="156" t="s">
        <v>360</v>
      </c>
      <c r="D827" s="156" t="s">
        <v>14</v>
      </c>
      <c r="E827" s="156" t="s">
        <v>18</v>
      </c>
      <c r="F827" s="159">
        <v>12682</v>
      </c>
      <c r="G827" s="159">
        <v>25364</v>
      </c>
      <c r="H827" s="159">
        <v>38046</v>
      </c>
    </row>
    <row r="828" spans="1:8" hidden="1" x14ac:dyDescent="0.25">
      <c r="A828" s="158">
        <v>1457</v>
      </c>
      <c r="B828" s="156" t="s">
        <v>759</v>
      </c>
      <c r="C828" s="156" t="s">
        <v>360</v>
      </c>
      <c r="D828" s="156" t="s">
        <v>14</v>
      </c>
      <c r="E828" s="156" t="s">
        <v>19</v>
      </c>
      <c r="F828" s="159">
        <v>12935</v>
      </c>
      <c r="G828" s="159">
        <v>25870</v>
      </c>
      <c r="H828" s="159">
        <v>38805</v>
      </c>
    </row>
    <row r="829" spans="1:8" hidden="1" x14ac:dyDescent="0.25">
      <c r="A829" s="158">
        <v>1458</v>
      </c>
      <c r="B829" s="156" t="s">
        <v>759</v>
      </c>
      <c r="C829" s="156" t="s">
        <v>360</v>
      </c>
      <c r="D829" s="156" t="s">
        <v>14</v>
      </c>
      <c r="E829" s="156" t="s">
        <v>20</v>
      </c>
      <c r="F829" s="159">
        <v>13194</v>
      </c>
      <c r="G829" s="159">
        <v>26389</v>
      </c>
      <c r="H829" s="159">
        <v>39583</v>
      </c>
    </row>
    <row r="830" spans="1:8" hidden="1" x14ac:dyDescent="0.25">
      <c r="A830" s="158">
        <v>1459</v>
      </c>
      <c r="B830" s="156" t="s">
        <v>759</v>
      </c>
      <c r="C830" s="156" t="s">
        <v>360</v>
      </c>
      <c r="D830" s="156" t="s">
        <v>21</v>
      </c>
      <c r="E830" s="156" t="s">
        <v>15</v>
      </c>
      <c r="F830" s="159">
        <v>13458</v>
      </c>
      <c r="G830" s="159">
        <v>26916</v>
      </c>
      <c r="H830" s="159">
        <v>40375</v>
      </c>
    </row>
    <row r="831" spans="1:8" hidden="1" x14ac:dyDescent="0.25">
      <c r="A831" s="158">
        <v>1460</v>
      </c>
      <c r="B831" s="156" t="s">
        <v>759</v>
      </c>
      <c r="C831" s="156" t="s">
        <v>360</v>
      </c>
      <c r="D831" s="156" t="s">
        <v>21</v>
      </c>
      <c r="E831" s="156" t="s">
        <v>16</v>
      </c>
      <c r="F831" s="159">
        <v>13727</v>
      </c>
      <c r="G831" s="159">
        <v>27455</v>
      </c>
      <c r="H831" s="159">
        <v>41182</v>
      </c>
    </row>
    <row r="832" spans="1:8" hidden="1" x14ac:dyDescent="0.25">
      <c r="A832" s="158">
        <v>1461</v>
      </c>
      <c r="B832" s="156" t="s">
        <v>759</v>
      </c>
      <c r="C832" s="156" t="s">
        <v>360</v>
      </c>
      <c r="D832" s="156" t="s">
        <v>21</v>
      </c>
      <c r="E832" s="156" t="s">
        <v>17</v>
      </c>
      <c r="F832" s="159">
        <v>14001</v>
      </c>
      <c r="G832" s="159">
        <v>28002</v>
      </c>
      <c r="H832" s="159">
        <v>42003</v>
      </c>
    </row>
    <row r="833" spans="1:8" hidden="1" x14ac:dyDescent="0.25">
      <c r="A833" s="158">
        <v>1462</v>
      </c>
      <c r="B833" s="156" t="s">
        <v>759</v>
      </c>
      <c r="C833" s="156" t="s">
        <v>360</v>
      </c>
      <c r="D833" s="156" t="s">
        <v>21</v>
      </c>
      <c r="E833" s="156" t="s">
        <v>18</v>
      </c>
      <c r="F833" s="159">
        <v>14282</v>
      </c>
      <c r="G833" s="159">
        <v>28564</v>
      </c>
      <c r="H833" s="159">
        <v>42846</v>
      </c>
    </row>
    <row r="834" spans="1:8" hidden="1" x14ac:dyDescent="0.25">
      <c r="A834" s="158">
        <v>1463</v>
      </c>
      <c r="B834" s="156" t="s">
        <v>759</v>
      </c>
      <c r="C834" s="156" t="s">
        <v>360</v>
      </c>
      <c r="D834" s="156" t="s">
        <v>21</v>
      </c>
      <c r="E834" s="156" t="s">
        <v>19</v>
      </c>
      <c r="F834" s="159">
        <v>14568</v>
      </c>
      <c r="G834" s="159">
        <v>29135</v>
      </c>
      <c r="H834" s="159">
        <v>43703</v>
      </c>
    </row>
    <row r="835" spans="1:8" hidden="1" x14ac:dyDescent="0.25">
      <c r="A835" s="158">
        <v>1464</v>
      </c>
      <c r="B835" s="156" t="s">
        <v>759</v>
      </c>
      <c r="C835" s="156" t="s">
        <v>360</v>
      </c>
      <c r="D835" s="156" t="s">
        <v>21</v>
      </c>
      <c r="E835" s="156" t="s">
        <v>20</v>
      </c>
      <c r="F835" s="159">
        <v>14859</v>
      </c>
      <c r="G835" s="159">
        <v>29717</v>
      </c>
      <c r="H835" s="159">
        <v>44576</v>
      </c>
    </row>
    <row r="836" spans="1:8" hidden="1" x14ac:dyDescent="0.25">
      <c r="A836" s="158">
        <v>1465</v>
      </c>
      <c r="B836" s="156" t="s">
        <v>759</v>
      </c>
      <c r="C836" s="156" t="s">
        <v>360</v>
      </c>
      <c r="D836" s="156" t="s">
        <v>203</v>
      </c>
      <c r="E836" s="156" t="s">
        <v>15</v>
      </c>
      <c r="F836" s="159">
        <v>15156</v>
      </c>
      <c r="G836" s="159">
        <v>30312</v>
      </c>
      <c r="H836" s="159">
        <v>45468</v>
      </c>
    </row>
    <row r="837" spans="1:8" hidden="1" x14ac:dyDescent="0.25">
      <c r="A837" s="158">
        <v>1466</v>
      </c>
      <c r="B837" s="156" t="s">
        <v>759</v>
      </c>
      <c r="C837" s="156" t="s">
        <v>360</v>
      </c>
      <c r="D837" s="156" t="s">
        <v>203</v>
      </c>
      <c r="E837" s="156" t="s">
        <v>16</v>
      </c>
      <c r="F837" s="159">
        <v>15459</v>
      </c>
      <c r="G837" s="159">
        <v>30918</v>
      </c>
      <c r="H837" s="159">
        <v>46377</v>
      </c>
    </row>
    <row r="838" spans="1:8" hidden="1" x14ac:dyDescent="0.25">
      <c r="A838" s="158">
        <v>1467</v>
      </c>
      <c r="B838" s="156" t="s">
        <v>759</v>
      </c>
      <c r="C838" s="156" t="s">
        <v>360</v>
      </c>
      <c r="D838" s="156" t="s">
        <v>203</v>
      </c>
      <c r="E838" s="156" t="s">
        <v>17</v>
      </c>
      <c r="F838" s="159">
        <v>15768</v>
      </c>
      <c r="G838" s="159">
        <v>31537</v>
      </c>
      <c r="H838" s="159">
        <v>47305</v>
      </c>
    </row>
    <row r="839" spans="1:8" hidden="1" x14ac:dyDescent="0.25">
      <c r="A839" s="158">
        <v>1468</v>
      </c>
      <c r="B839" s="156" t="s">
        <v>759</v>
      </c>
      <c r="C839" s="156" t="s">
        <v>360</v>
      </c>
      <c r="D839" s="156" t="s">
        <v>203</v>
      </c>
      <c r="E839" s="156" t="s">
        <v>18</v>
      </c>
      <c r="F839" s="159">
        <v>16083</v>
      </c>
      <c r="G839" s="159">
        <v>32166</v>
      </c>
      <c r="H839" s="159">
        <v>48249</v>
      </c>
    </row>
    <row r="840" spans="1:8" hidden="1" x14ac:dyDescent="0.25">
      <c r="A840" s="158">
        <v>1469</v>
      </c>
      <c r="B840" s="156" t="s">
        <v>759</v>
      </c>
      <c r="C840" s="156" t="s">
        <v>360</v>
      </c>
      <c r="D840" s="156" t="s">
        <v>203</v>
      </c>
      <c r="E840" s="156" t="s">
        <v>19</v>
      </c>
      <c r="F840" s="159">
        <v>16405</v>
      </c>
      <c r="G840" s="159">
        <v>32809</v>
      </c>
      <c r="H840" s="159">
        <v>49214</v>
      </c>
    </row>
    <row r="841" spans="1:8" hidden="1" x14ac:dyDescent="0.25">
      <c r="A841" s="158">
        <v>1470</v>
      </c>
      <c r="B841" s="156" t="s">
        <v>759</v>
      </c>
      <c r="C841" s="156" t="s">
        <v>360</v>
      </c>
      <c r="D841" s="156" t="s">
        <v>203</v>
      </c>
      <c r="E841" s="156" t="s">
        <v>20</v>
      </c>
      <c r="F841" s="159">
        <v>16732</v>
      </c>
      <c r="G841" s="159">
        <v>33466</v>
      </c>
      <c r="H841" s="159">
        <v>50198</v>
      </c>
    </row>
    <row r="842" spans="1:8" hidden="1" x14ac:dyDescent="0.25">
      <c r="A842" s="158">
        <v>1111</v>
      </c>
      <c r="B842" s="156" t="s">
        <v>776</v>
      </c>
      <c r="C842" s="156" t="s">
        <v>182</v>
      </c>
      <c r="D842" s="156" t="s">
        <v>14</v>
      </c>
      <c r="E842" s="156" t="s">
        <v>15</v>
      </c>
      <c r="F842" s="159">
        <v>29715</v>
      </c>
      <c r="G842" s="159">
        <v>59431</v>
      </c>
      <c r="H842" s="159">
        <v>89146</v>
      </c>
    </row>
    <row r="843" spans="1:8" hidden="1" x14ac:dyDescent="0.25">
      <c r="A843" s="158">
        <v>1112</v>
      </c>
      <c r="B843" s="156" t="s">
        <v>776</v>
      </c>
      <c r="C843" s="156" t="s">
        <v>182</v>
      </c>
      <c r="D843" s="156" t="s">
        <v>14</v>
      </c>
      <c r="E843" s="156" t="s">
        <v>16</v>
      </c>
      <c r="F843" s="159">
        <v>30310</v>
      </c>
      <c r="G843" s="159">
        <v>60619</v>
      </c>
      <c r="H843" s="159">
        <v>90929</v>
      </c>
    </row>
    <row r="844" spans="1:8" hidden="1" x14ac:dyDescent="0.25">
      <c r="A844" s="158">
        <v>1113</v>
      </c>
      <c r="B844" s="156" t="s">
        <v>776</v>
      </c>
      <c r="C844" s="156" t="s">
        <v>182</v>
      </c>
      <c r="D844" s="156" t="s">
        <v>14</v>
      </c>
      <c r="E844" s="156" t="s">
        <v>17</v>
      </c>
      <c r="F844" s="159">
        <v>30916</v>
      </c>
      <c r="G844" s="159">
        <v>61832</v>
      </c>
      <c r="H844" s="159">
        <v>92748</v>
      </c>
    </row>
    <row r="845" spans="1:8" hidden="1" x14ac:dyDescent="0.25">
      <c r="A845" s="158">
        <v>1114</v>
      </c>
      <c r="B845" s="156" t="s">
        <v>776</v>
      </c>
      <c r="C845" s="156" t="s">
        <v>182</v>
      </c>
      <c r="D845" s="156" t="s">
        <v>14</v>
      </c>
      <c r="E845" s="156" t="s">
        <v>18</v>
      </c>
      <c r="F845" s="159">
        <v>31534</v>
      </c>
      <c r="G845" s="159">
        <v>63068</v>
      </c>
      <c r="H845" s="159">
        <v>94602</v>
      </c>
    </row>
    <row r="846" spans="1:8" hidden="1" x14ac:dyDescent="0.25">
      <c r="A846" s="158">
        <v>1115</v>
      </c>
      <c r="B846" s="156" t="s">
        <v>776</v>
      </c>
      <c r="C846" s="156" t="s">
        <v>182</v>
      </c>
      <c r="D846" s="156" t="s">
        <v>14</v>
      </c>
      <c r="E846" s="156" t="s">
        <v>19</v>
      </c>
      <c r="F846" s="159">
        <v>32165</v>
      </c>
      <c r="G846" s="159">
        <v>64330</v>
      </c>
      <c r="H846" s="159">
        <v>96494</v>
      </c>
    </row>
    <row r="847" spans="1:8" hidden="1" x14ac:dyDescent="0.25">
      <c r="A847" s="158">
        <v>1116</v>
      </c>
      <c r="B847" s="156" t="s">
        <v>776</v>
      </c>
      <c r="C847" s="156" t="s">
        <v>182</v>
      </c>
      <c r="D847" s="156" t="s">
        <v>14</v>
      </c>
      <c r="E847" s="156" t="s">
        <v>20</v>
      </c>
      <c r="F847" s="159">
        <v>32808</v>
      </c>
      <c r="G847" s="159">
        <v>65616</v>
      </c>
      <c r="H847" s="159">
        <v>98424</v>
      </c>
    </row>
    <row r="848" spans="1:8" hidden="1" x14ac:dyDescent="0.25">
      <c r="A848" s="158">
        <v>1117</v>
      </c>
      <c r="B848" s="156" t="s">
        <v>776</v>
      </c>
      <c r="C848" s="156" t="s">
        <v>182</v>
      </c>
      <c r="D848" s="156" t="s">
        <v>21</v>
      </c>
      <c r="E848" s="156" t="s">
        <v>15</v>
      </c>
      <c r="F848" s="159">
        <v>33464</v>
      </c>
      <c r="G848" s="159">
        <v>66929</v>
      </c>
      <c r="H848" s="156" t="s">
        <v>777</v>
      </c>
    </row>
    <row r="849" spans="1:8" hidden="1" x14ac:dyDescent="0.25">
      <c r="A849" s="158">
        <v>1118</v>
      </c>
      <c r="B849" s="156" t="s">
        <v>776</v>
      </c>
      <c r="C849" s="156" t="s">
        <v>182</v>
      </c>
      <c r="D849" s="156" t="s">
        <v>21</v>
      </c>
      <c r="E849" s="156" t="s">
        <v>16</v>
      </c>
      <c r="F849" s="159">
        <v>34134</v>
      </c>
      <c r="G849" s="159">
        <v>68267</v>
      </c>
      <c r="H849" s="156" t="s">
        <v>778</v>
      </c>
    </row>
    <row r="850" spans="1:8" hidden="1" x14ac:dyDescent="0.25">
      <c r="A850" s="158">
        <v>1119</v>
      </c>
      <c r="B850" s="156" t="s">
        <v>776</v>
      </c>
      <c r="C850" s="156" t="s">
        <v>182</v>
      </c>
      <c r="D850" s="156" t="s">
        <v>21</v>
      </c>
      <c r="E850" s="156" t="s">
        <v>17</v>
      </c>
      <c r="F850" s="159">
        <v>34816</v>
      </c>
      <c r="G850" s="159">
        <v>69633</v>
      </c>
      <c r="H850" s="156" t="s">
        <v>779</v>
      </c>
    </row>
    <row r="851" spans="1:8" hidden="1" x14ac:dyDescent="0.25">
      <c r="A851" s="158">
        <v>1120</v>
      </c>
      <c r="B851" s="156" t="s">
        <v>776</v>
      </c>
      <c r="C851" s="156" t="s">
        <v>182</v>
      </c>
      <c r="D851" s="156" t="s">
        <v>21</v>
      </c>
      <c r="E851" s="156" t="s">
        <v>18</v>
      </c>
      <c r="F851" s="159">
        <v>35513</v>
      </c>
      <c r="G851" s="159">
        <v>71025</v>
      </c>
      <c r="H851" s="156" t="s">
        <v>780</v>
      </c>
    </row>
    <row r="852" spans="1:8" hidden="1" x14ac:dyDescent="0.25">
      <c r="A852" s="158">
        <v>1121</v>
      </c>
      <c r="B852" s="156" t="s">
        <v>776</v>
      </c>
      <c r="C852" s="156" t="s">
        <v>182</v>
      </c>
      <c r="D852" s="156" t="s">
        <v>21</v>
      </c>
      <c r="E852" s="156" t="s">
        <v>19</v>
      </c>
      <c r="F852" s="159">
        <v>36223</v>
      </c>
      <c r="G852" s="159">
        <v>72446</v>
      </c>
      <c r="H852" s="156" t="s">
        <v>781</v>
      </c>
    </row>
    <row r="853" spans="1:8" hidden="1" x14ac:dyDescent="0.25">
      <c r="A853" s="158">
        <v>1122</v>
      </c>
      <c r="B853" s="156" t="s">
        <v>776</v>
      </c>
      <c r="C853" s="156" t="s">
        <v>182</v>
      </c>
      <c r="D853" s="156" t="s">
        <v>21</v>
      </c>
      <c r="E853" s="156" t="s">
        <v>20</v>
      </c>
      <c r="F853" s="159">
        <v>36947</v>
      </c>
      <c r="G853" s="159">
        <v>73895</v>
      </c>
      <c r="H853" s="156" t="s">
        <v>782</v>
      </c>
    </row>
    <row r="854" spans="1:8" hidden="1" x14ac:dyDescent="0.25">
      <c r="A854" s="158">
        <v>1123</v>
      </c>
      <c r="B854" s="156" t="s">
        <v>776</v>
      </c>
      <c r="C854" s="156" t="s">
        <v>182</v>
      </c>
      <c r="D854" s="156" t="s">
        <v>203</v>
      </c>
      <c r="E854" s="156" t="s">
        <v>15</v>
      </c>
      <c r="F854" s="159">
        <v>37686</v>
      </c>
      <c r="G854" s="159">
        <v>75372</v>
      </c>
      <c r="H854" s="156" t="s">
        <v>783</v>
      </c>
    </row>
    <row r="855" spans="1:8" hidden="1" x14ac:dyDescent="0.25">
      <c r="A855" s="158">
        <v>1124</v>
      </c>
      <c r="B855" s="156" t="s">
        <v>776</v>
      </c>
      <c r="C855" s="156" t="s">
        <v>182</v>
      </c>
      <c r="D855" s="156" t="s">
        <v>203</v>
      </c>
      <c r="E855" s="156" t="s">
        <v>16</v>
      </c>
      <c r="F855" s="159">
        <v>38440</v>
      </c>
      <c r="G855" s="159">
        <v>76880</v>
      </c>
      <c r="H855" s="156" t="s">
        <v>784</v>
      </c>
    </row>
    <row r="856" spans="1:8" hidden="1" x14ac:dyDescent="0.25">
      <c r="A856" s="158">
        <v>1125</v>
      </c>
      <c r="B856" s="156" t="s">
        <v>776</v>
      </c>
      <c r="C856" s="156" t="s">
        <v>182</v>
      </c>
      <c r="D856" s="156" t="s">
        <v>203</v>
      </c>
      <c r="E856" s="156" t="s">
        <v>17</v>
      </c>
      <c r="F856" s="159">
        <v>39209</v>
      </c>
      <c r="G856" s="159">
        <v>78417</v>
      </c>
      <c r="H856" s="156" t="s">
        <v>785</v>
      </c>
    </row>
    <row r="857" spans="1:8" hidden="1" x14ac:dyDescent="0.25">
      <c r="A857" s="158">
        <v>1126</v>
      </c>
      <c r="B857" s="156" t="s">
        <v>776</v>
      </c>
      <c r="C857" s="156" t="s">
        <v>182</v>
      </c>
      <c r="D857" s="156" t="s">
        <v>203</v>
      </c>
      <c r="E857" s="156" t="s">
        <v>18</v>
      </c>
      <c r="F857" s="159">
        <v>39993</v>
      </c>
      <c r="G857" s="159">
        <v>79986</v>
      </c>
      <c r="H857" s="156" t="s">
        <v>786</v>
      </c>
    </row>
    <row r="858" spans="1:8" hidden="1" x14ac:dyDescent="0.25">
      <c r="A858" s="158">
        <v>1127</v>
      </c>
      <c r="B858" s="156" t="s">
        <v>776</v>
      </c>
      <c r="C858" s="156" t="s">
        <v>182</v>
      </c>
      <c r="D858" s="156" t="s">
        <v>203</v>
      </c>
      <c r="E858" s="156" t="s">
        <v>19</v>
      </c>
      <c r="F858" s="159">
        <v>40792</v>
      </c>
      <c r="G858" s="159">
        <v>81585</v>
      </c>
      <c r="H858" s="156" t="s">
        <v>787</v>
      </c>
    </row>
    <row r="859" spans="1:8" hidden="1" x14ac:dyDescent="0.25">
      <c r="A859" s="158">
        <v>1128</v>
      </c>
      <c r="B859" s="156" t="s">
        <v>776</v>
      </c>
      <c r="C859" s="156" t="s">
        <v>182</v>
      </c>
      <c r="D859" s="156" t="s">
        <v>203</v>
      </c>
      <c r="E859" s="156" t="s">
        <v>20</v>
      </c>
      <c r="F859" s="159">
        <v>41608</v>
      </c>
      <c r="G859" s="159">
        <v>83217</v>
      </c>
      <c r="H859" s="156" t="s">
        <v>788</v>
      </c>
    </row>
    <row r="860" spans="1:8" hidden="1" x14ac:dyDescent="0.25">
      <c r="A860" s="158">
        <v>1129</v>
      </c>
      <c r="B860" s="156" t="s">
        <v>776</v>
      </c>
      <c r="C860" s="156" t="s">
        <v>287</v>
      </c>
      <c r="D860" s="156" t="s">
        <v>14</v>
      </c>
      <c r="E860" s="156" t="s">
        <v>15</v>
      </c>
      <c r="F860" s="159">
        <v>29715</v>
      </c>
      <c r="G860" s="159">
        <v>59431</v>
      </c>
      <c r="H860" s="159">
        <v>89146</v>
      </c>
    </row>
    <row r="861" spans="1:8" hidden="1" x14ac:dyDescent="0.25">
      <c r="A861" s="158">
        <v>1130</v>
      </c>
      <c r="B861" s="156" t="s">
        <v>776</v>
      </c>
      <c r="C861" s="156" t="s">
        <v>287</v>
      </c>
      <c r="D861" s="156" t="s">
        <v>14</v>
      </c>
      <c r="E861" s="156" t="s">
        <v>16</v>
      </c>
      <c r="F861" s="159">
        <v>30310</v>
      </c>
      <c r="G861" s="159">
        <v>60619</v>
      </c>
      <c r="H861" s="159">
        <v>90929</v>
      </c>
    </row>
    <row r="862" spans="1:8" hidden="1" x14ac:dyDescent="0.25">
      <c r="A862" s="158">
        <v>1131</v>
      </c>
      <c r="B862" s="156" t="s">
        <v>776</v>
      </c>
      <c r="C862" s="156" t="s">
        <v>287</v>
      </c>
      <c r="D862" s="156" t="s">
        <v>14</v>
      </c>
      <c r="E862" s="156" t="s">
        <v>17</v>
      </c>
      <c r="F862" s="159">
        <v>30916</v>
      </c>
      <c r="G862" s="159">
        <v>61832</v>
      </c>
      <c r="H862" s="159">
        <v>92748</v>
      </c>
    </row>
    <row r="863" spans="1:8" hidden="1" x14ac:dyDescent="0.25">
      <c r="A863" s="158">
        <v>1132</v>
      </c>
      <c r="B863" s="156" t="s">
        <v>776</v>
      </c>
      <c r="C863" s="156" t="s">
        <v>287</v>
      </c>
      <c r="D863" s="156" t="s">
        <v>14</v>
      </c>
      <c r="E863" s="156" t="s">
        <v>18</v>
      </c>
      <c r="F863" s="159">
        <v>31534</v>
      </c>
      <c r="G863" s="159">
        <v>63068</v>
      </c>
      <c r="H863" s="159">
        <v>94602</v>
      </c>
    </row>
    <row r="864" spans="1:8" hidden="1" x14ac:dyDescent="0.25">
      <c r="A864" s="158">
        <v>1133</v>
      </c>
      <c r="B864" s="156" t="s">
        <v>776</v>
      </c>
      <c r="C864" s="156" t="s">
        <v>287</v>
      </c>
      <c r="D864" s="156" t="s">
        <v>14</v>
      </c>
      <c r="E864" s="156" t="s">
        <v>19</v>
      </c>
      <c r="F864" s="159">
        <v>32165</v>
      </c>
      <c r="G864" s="159">
        <v>64330</v>
      </c>
      <c r="H864" s="159">
        <v>96494</v>
      </c>
    </row>
    <row r="865" spans="1:8" hidden="1" x14ac:dyDescent="0.25">
      <c r="A865" s="158">
        <v>1134</v>
      </c>
      <c r="B865" s="156" t="s">
        <v>776</v>
      </c>
      <c r="C865" s="156" t="s">
        <v>287</v>
      </c>
      <c r="D865" s="156" t="s">
        <v>14</v>
      </c>
      <c r="E865" s="156" t="s">
        <v>20</v>
      </c>
      <c r="F865" s="159">
        <v>32808</v>
      </c>
      <c r="G865" s="159">
        <v>65616</v>
      </c>
      <c r="H865" s="159">
        <v>98424</v>
      </c>
    </row>
    <row r="866" spans="1:8" hidden="1" x14ac:dyDescent="0.25">
      <c r="A866" s="158">
        <v>1135</v>
      </c>
      <c r="B866" s="156" t="s">
        <v>776</v>
      </c>
      <c r="C866" s="156" t="s">
        <v>287</v>
      </c>
      <c r="D866" s="156" t="s">
        <v>21</v>
      </c>
      <c r="E866" s="156" t="s">
        <v>15</v>
      </c>
      <c r="F866" s="159">
        <v>33464</v>
      </c>
      <c r="G866" s="159">
        <v>66929</v>
      </c>
      <c r="H866" s="156" t="s">
        <v>777</v>
      </c>
    </row>
    <row r="867" spans="1:8" hidden="1" x14ac:dyDescent="0.25">
      <c r="A867" s="158">
        <v>1136</v>
      </c>
      <c r="B867" s="156" t="s">
        <v>776</v>
      </c>
      <c r="C867" s="156" t="s">
        <v>287</v>
      </c>
      <c r="D867" s="156" t="s">
        <v>21</v>
      </c>
      <c r="E867" s="156" t="s">
        <v>16</v>
      </c>
      <c r="F867" s="159">
        <v>34134</v>
      </c>
      <c r="G867" s="159">
        <v>68267</v>
      </c>
      <c r="H867" s="156" t="s">
        <v>778</v>
      </c>
    </row>
    <row r="868" spans="1:8" hidden="1" x14ac:dyDescent="0.25">
      <c r="A868" s="158">
        <v>1137</v>
      </c>
      <c r="B868" s="156" t="s">
        <v>776</v>
      </c>
      <c r="C868" s="156" t="s">
        <v>287</v>
      </c>
      <c r="D868" s="156" t="s">
        <v>21</v>
      </c>
      <c r="E868" s="156" t="s">
        <v>17</v>
      </c>
      <c r="F868" s="159">
        <v>34816</v>
      </c>
      <c r="G868" s="159">
        <v>69633</v>
      </c>
      <c r="H868" s="156" t="s">
        <v>779</v>
      </c>
    </row>
    <row r="869" spans="1:8" hidden="1" x14ac:dyDescent="0.25">
      <c r="A869" s="158">
        <v>1138</v>
      </c>
      <c r="B869" s="156" t="s">
        <v>776</v>
      </c>
      <c r="C869" s="156" t="s">
        <v>287</v>
      </c>
      <c r="D869" s="156" t="s">
        <v>21</v>
      </c>
      <c r="E869" s="156" t="s">
        <v>18</v>
      </c>
      <c r="F869" s="159">
        <v>35513</v>
      </c>
      <c r="G869" s="159">
        <v>71025</v>
      </c>
      <c r="H869" s="156" t="s">
        <v>780</v>
      </c>
    </row>
    <row r="870" spans="1:8" hidden="1" x14ac:dyDescent="0.25">
      <c r="A870" s="158">
        <v>1139</v>
      </c>
      <c r="B870" s="156" t="s">
        <v>776</v>
      </c>
      <c r="C870" s="156" t="s">
        <v>287</v>
      </c>
      <c r="D870" s="156" t="s">
        <v>21</v>
      </c>
      <c r="E870" s="156" t="s">
        <v>19</v>
      </c>
      <c r="F870" s="159">
        <v>36223</v>
      </c>
      <c r="G870" s="159">
        <v>72446</v>
      </c>
      <c r="H870" s="156" t="s">
        <v>781</v>
      </c>
    </row>
    <row r="871" spans="1:8" hidden="1" x14ac:dyDescent="0.25">
      <c r="A871" s="158">
        <v>1140</v>
      </c>
      <c r="B871" s="156" t="s">
        <v>776</v>
      </c>
      <c r="C871" s="156" t="s">
        <v>287</v>
      </c>
      <c r="D871" s="156" t="s">
        <v>21</v>
      </c>
      <c r="E871" s="156" t="s">
        <v>20</v>
      </c>
      <c r="F871" s="159">
        <v>36947</v>
      </c>
      <c r="G871" s="159">
        <v>73895</v>
      </c>
      <c r="H871" s="156" t="s">
        <v>782</v>
      </c>
    </row>
    <row r="872" spans="1:8" hidden="1" x14ac:dyDescent="0.25">
      <c r="A872" s="158">
        <v>1141</v>
      </c>
      <c r="B872" s="156" t="s">
        <v>776</v>
      </c>
      <c r="C872" s="156" t="s">
        <v>287</v>
      </c>
      <c r="D872" s="156" t="s">
        <v>203</v>
      </c>
      <c r="E872" s="156" t="s">
        <v>15</v>
      </c>
      <c r="F872" s="159">
        <v>37686</v>
      </c>
      <c r="G872" s="159">
        <v>75372</v>
      </c>
      <c r="H872" s="156" t="s">
        <v>783</v>
      </c>
    </row>
    <row r="873" spans="1:8" hidden="1" x14ac:dyDescent="0.25">
      <c r="A873" s="158">
        <v>1142</v>
      </c>
      <c r="B873" s="156" t="s">
        <v>776</v>
      </c>
      <c r="C873" s="156" t="s">
        <v>287</v>
      </c>
      <c r="D873" s="156" t="s">
        <v>203</v>
      </c>
      <c r="E873" s="156" t="s">
        <v>16</v>
      </c>
      <c r="F873" s="159">
        <v>38440</v>
      </c>
      <c r="G873" s="159">
        <v>76880</v>
      </c>
      <c r="H873" s="156" t="s">
        <v>784</v>
      </c>
    </row>
    <row r="874" spans="1:8" hidden="1" x14ac:dyDescent="0.25">
      <c r="A874" s="158">
        <v>1143</v>
      </c>
      <c r="B874" s="156" t="s">
        <v>776</v>
      </c>
      <c r="C874" s="156" t="s">
        <v>287</v>
      </c>
      <c r="D874" s="156" t="s">
        <v>203</v>
      </c>
      <c r="E874" s="156" t="s">
        <v>17</v>
      </c>
      <c r="F874" s="159">
        <v>39209</v>
      </c>
      <c r="G874" s="159">
        <v>78417</v>
      </c>
      <c r="H874" s="156" t="s">
        <v>785</v>
      </c>
    </row>
    <row r="875" spans="1:8" hidden="1" x14ac:dyDescent="0.25">
      <c r="A875" s="158">
        <v>1144</v>
      </c>
      <c r="B875" s="156" t="s">
        <v>776</v>
      </c>
      <c r="C875" s="156" t="s">
        <v>287</v>
      </c>
      <c r="D875" s="156" t="s">
        <v>203</v>
      </c>
      <c r="E875" s="156" t="s">
        <v>18</v>
      </c>
      <c r="F875" s="159">
        <v>39993</v>
      </c>
      <c r="G875" s="159">
        <v>79986</v>
      </c>
      <c r="H875" s="156" t="s">
        <v>786</v>
      </c>
    </row>
    <row r="876" spans="1:8" hidden="1" x14ac:dyDescent="0.25">
      <c r="A876" s="158">
        <v>1145</v>
      </c>
      <c r="B876" s="156" t="s">
        <v>776</v>
      </c>
      <c r="C876" s="156" t="s">
        <v>287</v>
      </c>
      <c r="D876" s="156" t="s">
        <v>203</v>
      </c>
      <c r="E876" s="156" t="s">
        <v>19</v>
      </c>
      <c r="F876" s="159">
        <v>40792</v>
      </c>
      <c r="G876" s="159">
        <v>81585</v>
      </c>
      <c r="H876" s="156" t="s">
        <v>787</v>
      </c>
    </row>
    <row r="877" spans="1:8" hidden="1" x14ac:dyDescent="0.25">
      <c r="A877" s="158">
        <v>1146</v>
      </c>
      <c r="B877" s="156" t="s">
        <v>776</v>
      </c>
      <c r="C877" s="156" t="s">
        <v>287</v>
      </c>
      <c r="D877" s="156" t="s">
        <v>203</v>
      </c>
      <c r="E877" s="156" t="s">
        <v>20</v>
      </c>
      <c r="F877" s="159">
        <v>41608</v>
      </c>
      <c r="G877" s="159">
        <v>83217</v>
      </c>
      <c r="H877" s="156" t="s">
        <v>788</v>
      </c>
    </row>
    <row r="878" spans="1:8" hidden="1" x14ac:dyDescent="0.25">
      <c r="A878" s="158">
        <v>1147</v>
      </c>
      <c r="B878" s="156" t="s">
        <v>776</v>
      </c>
      <c r="C878" s="156" t="s">
        <v>290</v>
      </c>
      <c r="D878" s="156" t="s">
        <v>14</v>
      </c>
      <c r="E878" s="156" t="s">
        <v>15</v>
      </c>
      <c r="F878" s="159">
        <v>29715</v>
      </c>
      <c r="G878" s="159">
        <v>59431</v>
      </c>
      <c r="H878" s="159">
        <v>89146</v>
      </c>
    </row>
    <row r="879" spans="1:8" hidden="1" x14ac:dyDescent="0.25">
      <c r="A879" s="158">
        <v>1148</v>
      </c>
      <c r="B879" s="156" t="s">
        <v>776</v>
      </c>
      <c r="C879" s="156" t="s">
        <v>290</v>
      </c>
      <c r="D879" s="156" t="s">
        <v>14</v>
      </c>
      <c r="E879" s="156" t="s">
        <v>16</v>
      </c>
      <c r="F879" s="159">
        <v>30310</v>
      </c>
      <c r="G879" s="159">
        <v>60619</v>
      </c>
      <c r="H879" s="159">
        <v>90929</v>
      </c>
    </row>
    <row r="880" spans="1:8" hidden="1" x14ac:dyDescent="0.25">
      <c r="A880" s="158">
        <v>1149</v>
      </c>
      <c r="B880" s="156" t="s">
        <v>776</v>
      </c>
      <c r="C880" s="156" t="s">
        <v>290</v>
      </c>
      <c r="D880" s="156" t="s">
        <v>14</v>
      </c>
      <c r="E880" s="156" t="s">
        <v>17</v>
      </c>
      <c r="F880" s="159">
        <v>30916</v>
      </c>
      <c r="G880" s="159">
        <v>61832</v>
      </c>
      <c r="H880" s="159">
        <v>92748</v>
      </c>
    </row>
    <row r="881" spans="1:8" hidden="1" x14ac:dyDescent="0.25">
      <c r="A881" s="158">
        <v>1150</v>
      </c>
      <c r="B881" s="156" t="s">
        <v>776</v>
      </c>
      <c r="C881" s="156" t="s">
        <v>290</v>
      </c>
      <c r="D881" s="156" t="s">
        <v>14</v>
      </c>
      <c r="E881" s="156" t="s">
        <v>18</v>
      </c>
      <c r="F881" s="159">
        <v>31534</v>
      </c>
      <c r="G881" s="159">
        <v>63068</v>
      </c>
      <c r="H881" s="159">
        <v>94602</v>
      </c>
    </row>
    <row r="882" spans="1:8" hidden="1" x14ac:dyDescent="0.25">
      <c r="A882" s="158">
        <v>1151</v>
      </c>
      <c r="B882" s="156" t="s">
        <v>776</v>
      </c>
      <c r="C882" s="156" t="s">
        <v>290</v>
      </c>
      <c r="D882" s="156" t="s">
        <v>14</v>
      </c>
      <c r="E882" s="156" t="s">
        <v>19</v>
      </c>
      <c r="F882" s="159">
        <v>32165</v>
      </c>
      <c r="G882" s="159">
        <v>64330</v>
      </c>
      <c r="H882" s="159">
        <v>96494</v>
      </c>
    </row>
    <row r="883" spans="1:8" hidden="1" x14ac:dyDescent="0.25">
      <c r="A883" s="158">
        <v>1152</v>
      </c>
      <c r="B883" s="156" t="s">
        <v>776</v>
      </c>
      <c r="C883" s="156" t="s">
        <v>290</v>
      </c>
      <c r="D883" s="156" t="s">
        <v>14</v>
      </c>
      <c r="E883" s="156" t="s">
        <v>20</v>
      </c>
      <c r="F883" s="159">
        <v>32808</v>
      </c>
      <c r="G883" s="159">
        <v>65616</v>
      </c>
      <c r="H883" s="159">
        <v>98424</v>
      </c>
    </row>
    <row r="884" spans="1:8" hidden="1" x14ac:dyDescent="0.25">
      <c r="A884" s="158">
        <v>1153</v>
      </c>
      <c r="B884" s="156" t="s">
        <v>776</v>
      </c>
      <c r="C884" s="156" t="s">
        <v>290</v>
      </c>
      <c r="D884" s="156" t="s">
        <v>21</v>
      </c>
      <c r="E884" s="156" t="s">
        <v>15</v>
      </c>
      <c r="F884" s="159">
        <v>33464</v>
      </c>
      <c r="G884" s="159">
        <v>66929</v>
      </c>
      <c r="H884" s="156" t="s">
        <v>777</v>
      </c>
    </row>
    <row r="885" spans="1:8" hidden="1" x14ac:dyDescent="0.25">
      <c r="A885" s="158">
        <v>1154</v>
      </c>
      <c r="B885" s="156" t="s">
        <v>776</v>
      </c>
      <c r="C885" s="156" t="s">
        <v>290</v>
      </c>
      <c r="D885" s="156" t="s">
        <v>21</v>
      </c>
      <c r="E885" s="156" t="s">
        <v>16</v>
      </c>
      <c r="F885" s="159">
        <v>34134</v>
      </c>
      <c r="G885" s="159">
        <v>68267</v>
      </c>
      <c r="H885" s="156" t="s">
        <v>778</v>
      </c>
    </row>
    <row r="886" spans="1:8" hidden="1" x14ac:dyDescent="0.25">
      <c r="A886" s="158">
        <v>1155</v>
      </c>
      <c r="B886" s="156" t="s">
        <v>776</v>
      </c>
      <c r="C886" s="156" t="s">
        <v>290</v>
      </c>
      <c r="D886" s="156" t="s">
        <v>21</v>
      </c>
      <c r="E886" s="156" t="s">
        <v>17</v>
      </c>
      <c r="F886" s="159">
        <v>34816</v>
      </c>
      <c r="G886" s="159">
        <v>69633</v>
      </c>
      <c r="H886" s="156" t="s">
        <v>779</v>
      </c>
    </row>
    <row r="887" spans="1:8" hidden="1" x14ac:dyDescent="0.25">
      <c r="A887" s="158">
        <v>1156</v>
      </c>
      <c r="B887" s="156" t="s">
        <v>776</v>
      </c>
      <c r="C887" s="156" t="s">
        <v>290</v>
      </c>
      <c r="D887" s="156" t="s">
        <v>21</v>
      </c>
      <c r="E887" s="156" t="s">
        <v>18</v>
      </c>
      <c r="F887" s="159">
        <v>35513</v>
      </c>
      <c r="G887" s="159">
        <v>71025</v>
      </c>
      <c r="H887" s="156" t="s">
        <v>780</v>
      </c>
    </row>
    <row r="888" spans="1:8" hidden="1" x14ac:dyDescent="0.25">
      <c r="A888" s="158">
        <v>1157</v>
      </c>
      <c r="B888" s="156" t="s">
        <v>776</v>
      </c>
      <c r="C888" s="156" t="s">
        <v>290</v>
      </c>
      <c r="D888" s="156" t="s">
        <v>21</v>
      </c>
      <c r="E888" s="156" t="s">
        <v>19</v>
      </c>
      <c r="F888" s="159">
        <v>36223</v>
      </c>
      <c r="G888" s="159">
        <v>72446</v>
      </c>
      <c r="H888" s="156" t="s">
        <v>781</v>
      </c>
    </row>
    <row r="889" spans="1:8" hidden="1" x14ac:dyDescent="0.25">
      <c r="A889" s="158">
        <v>1158</v>
      </c>
      <c r="B889" s="156" t="s">
        <v>776</v>
      </c>
      <c r="C889" s="156" t="s">
        <v>290</v>
      </c>
      <c r="D889" s="156" t="s">
        <v>21</v>
      </c>
      <c r="E889" s="156" t="s">
        <v>20</v>
      </c>
      <c r="F889" s="159">
        <v>36947</v>
      </c>
      <c r="G889" s="159">
        <v>73895</v>
      </c>
      <c r="H889" s="156" t="s">
        <v>782</v>
      </c>
    </row>
    <row r="890" spans="1:8" hidden="1" x14ac:dyDescent="0.25">
      <c r="A890" s="158">
        <v>1159</v>
      </c>
      <c r="B890" s="156" t="s">
        <v>776</v>
      </c>
      <c r="C890" s="156" t="s">
        <v>290</v>
      </c>
      <c r="D890" s="156" t="s">
        <v>203</v>
      </c>
      <c r="E890" s="156" t="s">
        <v>15</v>
      </c>
      <c r="F890" s="159">
        <v>37686</v>
      </c>
      <c r="G890" s="159">
        <v>75372</v>
      </c>
      <c r="H890" s="156" t="s">
        <v>783</v>
      </c>
    </row>
    <row r="891" spans="1:8" hidden="1" x14ac:dyDescent="0.25">
      <c r="A891" s="158">
        <v>1160</v>
      </c>
      <c r="B891" s="156" t="s">
        <v>776</v>
      </c>
      <c r="C891" s="156" t="s">
        <v>290</v>
      </c>
      <c r="D891" s="156" t="s">
        <v>203</v>
      </c>
      <c r="E891" s="156" t="s">
        <v>16</v>
      </c>
      <c r="F891" s="159">
        <v>38440</v>
      </c>
      <c r="G891" s="159">
        <v>76880</v>
      </c>
      <c r="H891" s="156" t="s">
        <v>784</v>
      </c>
    </row>
    <row r="892" spans="1:8" hidden="1" x14ac:dyDescent="0.25">
      <c r="A892" s="158">
        <v>1161</v>
      </c>
      <c r="B892" s="156" t="s">
        <v>776</v>
      </c>
      <c r="C892" s="156" t="s">
        <v>290</v>
      </c>
      <c r="D892" s="156" t="s">
        <v>203</v>
      </c>
      <c r="E892" s="156" t="s">
        <v>17</v>
      </c>
      <c r="F892" s="159">
        <v>39209</v>
      </c>
      <c r="G892" s="159">
        <v>78417</v>
      </c>
      <c r="H892" s="156" t="s">
        <v>785</v>
      </c>
    </row>
    <row r="893" spans="1:8" hidden="1" x14ac:dyDescent="0.25">
      <c r="A893" s="158">
        <v>1162</v>
      </c>
      <c r="B893" s="156" t="s">
        <v>776</v>
      </c>
      <c r="C893" s="156" t="s">
        <v>290</v>
      </c>
      <c r="D893" s="156" t="s">
        <v>203</v>
      </c>
      <c r="E893" s="156" t="s">
        <v>18</v>
      </c>
      <c r="F893" s="159">
        <v>39993</v>
      </c>
      <c r="G893" s="159">
        <v>79986</v>
      </c>
      <c r="H893" s="156" t="s">
        <v>786</v>
      </c>
    </row>
    <row r="894" spans="1:8" hidden="1" x14ac:dyDescent="0.25">
      <c r="A894" s="158">
        <v>1163</v>
      </c>
      <c r="B894" s="156" t="s">
        <v>776</v>
      </c>
      <c r="C894" s="156" t="s">
        <v>290</v>
      </c>
      <c r="D894" s="156" t="s">
        <v>203</v>
      </c>
      <c r="E894" s="156" t="s">
        <v>19</v>
      </c>
      <c r="F894" s="159">
        <v>40792</v>
      </c>
      <c r="G894" s="159">
        <v>81585</v>
      </c>
      <c r="H894" s="156" t="s">
        <v>787</v>
      </c>
    </row>
    <row r="895" spans="1:8" hidden="1" x14ac:dyDescent="0.25">
      <c r="A895" s="158">
        <v>1164</v>
      </c>
      <c r="B895" s="156" t="s">
        <v>776</v>
      </c>
      <c r="C895" s="156" t="s">
        <v>290</v>
      </c>
      <c r="D895" s="156" t="s">
        <v>203</v>
      </c>
      <c r="E895" s="156" t="s">
        <v>20</v>
      </c>
      <c r="F895" s="159">
        <v>41608</v>
      </c>
      <c r="G895" s="159">
        <v>83217</v>
      </c>
      <c r="H895" s="156" t="s">
        <v>788</v>
      </c>
    </row>
    <row r="896" spans="1:8" hidden="1" x14ac:dyDescent="0.25">
      <c r="A896" s="158">
        <v>1165</v>
      </c>
      <c r="B896" s="156" t="s">
        <v>776</v>
      </c>
      <c r="C896" s="156" t="s">
        <v>234</v>
      </c>
      <c r="D896" s="156" t="s">
        <v>14</v>
      </c>
      <c r="E896" s="156" t="s">
        <v>15</v>
      </c>
      <c r="F896" s="159">
        <v>15782</v>
      </c>
      <c r="G896" s="159">
        <v>31564</v>
      </c>
      <c r="H896" s="159">
        <v>47346</v>
      </c>
    </row>
    <row r="897" spans="1:8" hidden="1" x14ac:dyDescent="0.25">
      <c r="A897" s="158">
        <v>1166</v>
      </c>
      <c r="B897" s="156" t="s">
        <v>776</v>
      </c>
      <c r="C897" s="156" t="s">
        <v>234</v>
      </c>
      <c r="D897" s="156" t="s">
        <v>14</v>
      </c>
      <c r="E897" s="156" t="s">
        <v>16</v>
      </c>
      <c r="F897" s="159">
        <v>16098</v>
      </c>
      <c r="G897" s="159">
        <v>32196</v>
      </c>
      <c r="H897" s="159">
        <v>48294</v>
      </c>
    </row>
    <row r="898" spans="1:8" hidden="1" x14ac:dyDescent="0.25">
      <c r="A898" s="158">
        <v>1167</v>
      </c>
      <c r="B898" s="156" t="s">
        <v>776</v>
      </c>
      <c r="C898" s="156" t="s">
        <v>234</v>
      </c>
      <c r="D898" s="156" t="s">
        <v>14</v>
      </c>
      <c r="E898" s="156" t="s">
        <v>17</v>
      </c>
      <c r="F898" s="159">
        <v>16420</v>
      </c>
      <c r="G898" s="159">
        <v>32840</v>
      </c>
      <c r="H898" s="159">
        <v>49260</v>
      </c>
    </row>
    <row r="899" spans="1:8" hidden="1" x14ac:dyDescent="0.25">
      <c r="A899" s="158">
        <v>1168</v>
      </c>
      <c r="B899" s="156" t="s">
        <v>776</v>
      </c>
      <c r="C899" s="156" t="s">
        <v>234</v>
      </c>
      <c r="D899" s="156" t="s">
        <v>14</v>
      </c>
      <c r="E899" s="156" t="s">
        <v>18</v>
      </c>
      <c r="F899" s="159">
        <v>16748</v>
      </c>
      <c r="G899" s="159">
        <v>33496</v>
      </c>
      <c r="H899" s="159">
        <v>50244</v>
      </c>
    </row>
    <row r="900" spans="1:8" hidden="1" x14ac:dyDescent="0.25">
      <c r="A900" s="158">
        <v>1169</v>
      </c>
      <c r="B900" s="156" t="s">
        <v>776</v>
      </c>
      <c r="C900" s="156" t="s">
        <v>234</v>
      </c>
      <c r="D900" s="156" t="s">
        <v>14</v>
      </c>
      <c r="E900" s="156" t="s">
        <v>19</v>
      </c>
      <c r="F900" s="159">
        <v>17083</v>
      </c>
      <c r="G900" s="159">
        <v>34166</v>
      </c>
      <c r="H900" s="159">
        <v>51249</v>
      </c>
    </row>
    <row r="901" spans="1:8" hidden="1" x14ac:dyDescent="0.25">
      <c r="A901" s="158">
        <v>1170</v>
      </c>
      <c r="B901" s="156" t="s">
        <v>776</v>
      </c>
      <c r="C901" s="156" t="s">
        <v>234</v>
      </c>
      <c r="D901" s="156" t="s">
        <v>14</v>
      </c>
      <c r="E901" s="156" t="s">
        <v>20</v>
      </c>
      <c r="F901" s="159">
        <v>17425</v>
      </c>
      <c r="G901" s="159">
        <v>34850</v>
      </c>
      <c r="H901" s="159">
        <v>52275</v>
      </c>
    </row>
    <row r="902" spans="1:8" hidden="1" x14ac:dyDescent="0.25">
      <c r="A902" s="158">
        <v>1171</v>
      </c>
      <c r="B902" s="156" t="s">
        <v>776</v>
      </c>
      <c r="C902" s="156" t="s">
        <v>234</v>
      </c>
      <c r="D902" s="156" t="s">
        <v>21</v>
      </c>
      <c r="E902" s="156" t="s">
        <v>15</v>
      </c>
      <c r="F902" s="159">
        <v>17773</v>
      </c>
      <c r="G902" s="159">
        <v>35546</v>
      </c>
      <c r="H902" s="159">
        <v>53319</v>
      </c>
    </row>
    <row r="903" spans="1:8" hidden="1" x14ac:dyDescent="0.25">
      <c r="A903" s="158">
        <v>1172</v>
      </c>
      <c r="B903" s="156" t="s">
        <v>776</v>
      </c>
      <c r="C903" s="156" t="s">
        <v>234</v>
      </c>
      <c r="D903" s="156" t="s">
        <v>21</v>
      </c>
      <c r="E903" s="156" t="s">
        <v>16</v>
      </c>
      <c r="F903" s="159">
        <v>18129</v>
      </c>
      <c r="G903" s="159">
        <v>36258</v>
      </c>
      <c r="H903" s="159">
        <v>54387</v>
      </c>
    </row>
    <row r="904" spans="1:8" hidden="1" x14ac:dyDescent="0.25">
      <c r="A904" s="158">
        <v>1173</v>
      </c>
      <c r="B904" s="156" t="s">
        <v>776</v>
      </c>
      <c r="C904" s="156" t="s">
        <v>234</v>
      </c>
      <c r="D904" s="156" t="s">
        <v>21</v>
      </c>
      <c r="E904" s="156" t="s">
        <v>17</v>
      </c>
      <c r="F904" s="159">
        <v>18491</v>
      </c>
      <c r="G904" s="159">
        <v>36982</v>
      </c>
      <c r="H904" s="159">
        <v>55473</v>
      </c>
    </row>
    <row r="905" spans="1:8" hidden="1" x14ac:dyDescent="0.25">
      <c r="A905" s="158">
        <v>1174</v>
      </c>
      <c r="B905" s="156" t="s">
        <v>776</v>
      </c>
      <c r="C905" s="156" t="s">
        <v>234</v>
      </c>
      <c r="D905" s="156" t="s">
        <v>21</v>
      </c>
      <c r="E905" s="156" t="s">
        <v>18</v>
      </c>
      <c r="F905" s="159">
        <v>18861</v>
      </c>
      <c r="G905" s="159">
        <v>37722</v>
      </c>
      <c r="H905" s="159">
        <v>56583</v>
      </c>
    </row>
    <row r="906" spans="1:8" hidden="1" x14ac:dyDescent="0.25">
      <c r="A906" s="158">
        <v>1175</v>
      </c>
      <c r="B906" s="156" t="s">
        <v>776</v>
      </c>
      <c r="C906" s="156" t="s">
        <v>234</v>
      </c>
      <c r="D906" s="156" t="s">
        <v>21</v>
      </c>
      <c r="E906" s="156" t="s">
        <v>19</v>
      </c>
      <c r="F906" s="159">
        <v>19238</v>
      </c>
      <c r="G906" s="159">
        <v>38476</v>
      </c>
      <c r="H906" s="159">
        <v>57714</v>
      </c>
    </row>
    <row r="907" spans="1:8" hidden="1" x14ac:dyDescent="0.25">
      <c r="A907" s="158">
        <v>1176</v>
      </c>
      <c r="B907" s="156" t="s">
        <v>776</v>
      </c>
      <c r="C907" s="156" t="s">
        <v>234</v>
      </c>
      <c r="D907" s="156" t="s">
        <v>21</v>
      </c>
      <c r="E907" s="156" t="s">
        <v>20</v>
      </c>
      <c r="F907" s="159">
        <v>19623</v>
      </c>
      <c r="G907" s="159">
        <v>39246</v>
      </c>
      <c r="H907" s="159">
        <v>58869</v>
      </c>
    </row>
    <row r="908" spans="1:8" hidden="1" x14ac:dyDescent="0.25">
      <c r="A908" s="158">
        <v>1177</v>
      </c>
      <c r="B908" s="156" t="s">
        <v>776</v>
      </c>
      <c r="C908" s="156" t="s">
        <v>234</v>
      </c>
      <c r="D908" s="156" t="s">
        <v>203</v>
      </c>
      <c r="E908" s="156" t="s">
        <v>15</v>
      </c>
      <c r="F908" s="159">
        <v>20015</v>
      </c>
      <c r="G908" s="159">
        <v>40030</v>
      </c>
      <c r="H908" s="159">
        <v>60045</v>
      </c>
    </row>
    <row r="909" spans="1:8" hidden="1" x14ac:dyDescent="0.25">
      <c r="A909" s="158">
        <v>1178</v>
      </c>
      <c r="B909" s="156" t="s">
        <v>776</v>
      </c>
      <c r="C909" s="156" t="s">
        <v>234</v>
      </c>
      <c r="D909" s="156" t="s">
        <v>203</v>
      </c>
      <c r="E909" s="156" t="s">
        <v>16</v>
      </c>
      <c r="F909" s="159">
        <v>20416</v>
      </c>
      <c r="G909" s="159">
        <v>40832</v>
      </c>
      <c r="H909" s="159">
        <v>61248</v>
      </c>
    </row>
    <row r="910" spans="1:8" hidden="1" x14ac:dyDescent="0.25">
      <c r="A910" s="158">
        <v>1179</v>
      </c>
      <c r="B910" s="156" t="s">
        <v>776</v>
      </c>
      <c r="C910" s="156" t="s">
        <v>234</v>
      </c>
      <c r="D910" s="156" t="s">
        <v>203</v>
      </c>
      <c r="E910" s="156" t="s">
        <v>17</v>
      </c>
      <c r="F910" s="159">
        <v>20824</v>
      </c>
      <c r="G910" s="159">
        <v>41648</v>
      </c>
      <c r="H910" s="159">
        <v>62472</v>
      </c>
    </row>
    <row r="911" spans="1:8" hidden="1" x14ac:dyDescent="0.25">
      <c r="A911" s="158">
        <v>1180</v>
      </c>
      <c r="B911" s="156" t="s">
        <v>776</v>
      </c>
      <c r="C911" s="156" t="s">
        <v>234</v>
      </c>
      <c r="D911" s="156" t="s">
        <v>203</v>
      </c>
      <c r="E911" s="156" t="s">
        <v>18</v>
      </c>
      <c r="F911" s="159">
        <v>21241</v>
      </c>
      <c r="G911" s="159">
        <v>42482</v>
      </c>
      <c r="H911" s="159">
        <v>63723</v>
      </c>
    </row>
    <row r="912" spans="1:8" hidden="1" x14ac:dyDescent="0.25">
      <c r="A912" s="158">
        <v>1181</v>
      </c>
      <c r="B912" s="156" t="s">
        <v>776</v>
      </c>
      <c r="C912" s="156" t="s">
        <v>234</v>
      </c>
      <c r="D912" s="156" t="s">
        <v>203</v>
      </c>
      <c r="E912" s="156" t="s">
        <v>19</v>
      </c>
      <c r="F912" s="159">
        <v>21665</v>
      </c>
      <c r="G912" s="159">
        <v>43331</v>
      </c>
      <c r="H912" s="159">
        <v>64997</v>
      </c>
    </row>
    <row r="913" spans="1:8" hidden="1" x14ac:dyDescent="0.25">
      <c r="A913" s="158">
        <v>1182</v>
      </c>
      <c r="B913" s="156" t="s">
        <v>776</v>
      </c>
      <c r="C913" s="156" t="s">
        <v>234</v>
      </c>
      <c r="D913" s="156" t="s">
        <v>203</v>
      </c>
      <c r="E913" s="156" t="s">
        <v>20</v>
      </c>
      <c r="F913" s="159">
        <v>22099</v>
      </c>
      <c r="G913" s="159">
        <v>44198</v>
      </c>
      <c r="H913" s="159">
        <v>66297</v>
      </c>
    </row>
    <row r="914" spans="1:8" hidden="1" x14ac:dyDescent="0.25">
      <c r="A914" s="158">
        <v>1183</v>
      </c>
      <c r="B914" s="156" t="s">
        <v>776</v>
      </c>
      <c r="C914" s="156" t="s">
        <v>305</v>
      </c>
      <c r="D914" s="156" t="s">
        <v>14</v>
      </c>
      <c r="E914" s="156" t="s">
        <v>15</v>
      </c>
      <c r="F914" s="159">
        <v>15782</v>
      </c>
      <c r="G914" s="159">
        <v>31564</v>
      </c>
      <c r="H914" s="159">
        <v>47346</v>
      </c>
    </row>
    <row r="915" spans="1:8" hidden="1" x14ac:dyDescent="0.25">
      <c r="A915" s="158">
        <v>1184</v>
      </c>
      <c r="B915" s="156" t="s">
        <v>776</v>
      </c>
      <c r="C915" s="156" t="s">
        <v>305</v>
      </c>
      <c r="D915" s="156" t="s">
        <v>14</v>
      </c>
      <c r="E915" s="156" t="s">
        <v>16</v>
      </c>
      <c r="F915" s="159">
        <v>16098</v>
      </c>
      <c r="G915" s="159">
        <v>32196</v>
      </c>
      <c r="H915" s="159">
        <v>48294</v>
      </c>
    </row>
    <row r="916" spans="1:8" hidden="1" x14ac:dyDescent="0.25">
      <c r="A916" s="158">
        <v>1185</v>
      </c>
      <c r="B916" s="156" t="s">
        <v>776</v>
      </c>
      <c r="C916" s="156" t="s">
        <v>305</v>
      </c>
      <c r="D916" s="156" t="s">
        <v>14</v>
      </c>
      <c r="E916" s="156" t="s">
        <v>17</v>
      </c>
      <c r="F916" s="159">
        <v>16420</v>
      </c>
      <c r="G916" s="159">
        <v>32840</v>
      </c>
      <c r="H916" s="159">
        <v>49260</v>
      </c>
    </row>
    <row r="917" spans="1:8" hidden="1" x14ac:dyDescent="0.25">
      <c r="A917" s="158">
        <v>1186</v>
      </c>
      <c r="B917" s="156" t="s">
        <v>776</v>
      </c>
      <c r="C917" s="156" t="s">
        <v>305</v>
      </c>
      <c r="D917" s="156" t="s">
        <v>14</v>
      </c>
      <c r="E917" s="156" t="s">
        <v>18</v>
      </c>
      <c r="F917" s="159">
        <v>16748</v>
      </c>
      <c r="G917" s="159">
        <v>33496</v>
      </c>
      <c r="H917" s="159">
        <v>50244</v>
      </c>
    </row>
    <row r="918" spans="1:8" hidden="1" x14ac:dyDescent="0.25">
      <c r="A918" s="158">
        <v>1187</v>
      </c>
      <c r="B918" s="156" t="s">
        <v>776</v>
      </c>
      <c r="C918" s="156" t="s">
        <v>305</v>
      </c>
      <c r="D918" s="156" t="s">
        <v>14</v>
      </c>
      <c r="E918" s="156" t="s">
        <v>19</v>
      </c>
      <c r="F918" s="159">
        <v>17083</v>
      </c>
      <c r="G918" s="159">
        <v>34166</v>
      </c>
      <c r="H918" s="159">
        <v>51249</v>
      </c>
    </row>
    <row r="919" spans="1:8" hidden="1" x14ac:dyDescent="0.25">
      <c r="A919" s="158">
        <v>1188</v>
      </c>
      <c r="B919" s="156" t="s">
        <v>776</v>
      </c>
      <c r="C919" s="156" t="s">
        <v>305</v>
      </c>
      <c r="D919" s="156" t="s">
        <v>14</v>
      </c>
      <c r="E919" s="156" t="s">
        <v>20</v>
      </c>
      <c r="F919" s="159">
        <v>17425</v>
      </c>
      <c r="G919" s="159">
        <v>34850</v>
      </c>
      <c r="H919" s="159">
        <v>52275</v>
      </c>
    </row>
    <row r="920" spans="1:8" hidden="1" x14ac:dyDescent="0.25">
      <c r="A920" s="158">
        <v>1189</v>
      </c>
      <c r="B920" s="156" t="s">
        <v>776</v>
      </c>
      <c r="C920" s="156" t="s">
        <v>305</v>
      </c>
      <c r="D920" s="156" t="s">
        <v>21</v>
      </c>
      <c r="E920" s="156" t="s">
        <v>15</v>
      </c>
      <c r="F920" s="159">
        <v>17773</v>
      </c>
      <c r="G920" s="159">
        <v>35546</v>
      </c>
      <c r="H920" s="159">
        <v>53319</v>
      </c>
    </row>
    <row r="921" spans="1:8" hidden="1" x14ac:dyDescent="0.25">
      <c r="A921" s="158">
        <v>1190</v>
      </c>
      <c r="B921" s="156" t="s">
        <v>776</v>
      </c>
      <c r="C921" s="156" t="s">
        <v>305</v>
      </c>
      <c r="D921" s="156" t="s">
        <v>21</v>
      </c>
      <c r="E921" s="156" t="s">
        <v>16</v>
      </c>
      <c r="F921" s="159">
        <v>18129</v>
      </c>
      <c r="G921" s="159">
        <v>36258</v>
      </c>
      <c r="H921" s="159">
        <v>54387</v>
      </c>
    </row>
    <row r="922" spans="1:8" hidden="1" x14ac:dyDescent="0.25">
      <c r="A922" s="158">
        <v>1191</v>
      </c>
      <c r="B922" s="156" t="s">
        <v>776</v>
      </c>
      <c r="C922" s="156" t="s">
        <v>305</v>
      </c>
      <c r="D922" s="156" t="s">
        <v>21</v>
      </c>
      <c r="E922" s="156" t="s">
        <v>17</v>
      </c>
      <c r="F922" s="159">
        <v>18491</v>
      </c>
      <c r="G922" s="159">
        <v>36982</v>
      </c>
      <c r="H922" s="159">
        <v>55473</v>
      </c>
    </row>
    <row r="923" spans="1:8" hidden="1" x14ac:dyDescent="0.25">
      <c r="A923" s="158">
        <v>1192</v>
      </c>
      <c r="B923" s="156" t="s">
        <v>776</v>
      </c>
      <c r="C923" s="156" t="s">
        <v>305</v>
      </c>
      <c r="D923" s="156" t="s">
        <v>21</v>
      </c>
      <c r="E923" s="156" t="s">
        <v>18</v>
      </c>
      <c r="F923" s="159">
        <v>18861</v>
      </c>
      <c r="G923" s="159">
        <v>37722</v>
      </c>
      <c r="H923" s="159">
        <v>56583</v>
      </c>
    </row>
    <row r="924" spans="1:8" hidden="1" x14ac:dyDescent="0.25">
      <c r="A924" s="158">
        <v>1193</v>
      </c>
      <c r="B924" s="156" t="s">
        <v>776</v>
      </c>
      <c r="C924" s="156" t="s">
        <v>305</v>
      </c>
      <c r="D924" s="156" t="s">
        <v>21</v>
      </c>
      <c r="E924" s="156" t="s">
        <v>19</v>
      </c>
      <c r="F924" s="159">
        <v>19238</v>
      </c>
      <c r="G924" s="159">
        <v>38476</v>
      </c>
      <c r="H924" s="159">
        <v>57714</v>
      </c>
    </row>
    <row r="925" spans="1:8" hidden="1" x14ac:dyDescent="0.25">
      <c r="A925" s="158">
        <v>1194</v>
      </c>
      <c r="B925" s="156" t="s">
        <v>776</v>
      </c>
      <c r="C925" s="156" t="s">
        <v>305</v>
      </c>
      <c r="D925" s="156" t="s">
        <v>21</v>
      </c>
      <c r="E925" s="156" t="s">
        <v>20</v>
      </c>
      <c r="F925" s="159">
        <v>19623</v>
      </c>
      <c r="G925" s="159">
        <v>39246</v>
      </c>
      <c r="H925" s="159">
        <v>58869</v>
      </c>
    </row>
    <row r="926" spans="1:8" hidden="1" x14ac:dyDescent="0.25">
      <c r="A926" s="158">
        <v>1195</v>
      </c>
      <c r="B926" s="156" t="s">
        <v>776</v>
      </c>
      <c r="C926" s="156" t="s">
        <v>305</v>
      </c>
      <c r="D926" s="156" t="s">
        <v>203</v>
      </c>
      <c r="E926" s="156" t="s">
        <v>15</v>
      </c>
      <c r="F926" s="159">
        <v>20015</v>
      </c>
      <c r="G926" s="159">
        <v>40030</v>
      </c>
      <c r="H926" s="159">
        <v>60045</v>
      </c>
    </row>
    <row r="927" spans="1:8" hidden="1" x14ac:dyDescent="0.25">
      <c r="A927" s="158">
        <v>1196</v>
      </c>
      <c r="B927" s="156" t="s">
        <v>776</v>
      </c>
      <c r="C927" s="156" t="s">
        <v>305</v>
      </c>
      <c r="D927" s="156" t="s">
        <v>203</v>
      </c>
      <c r="E927" s="156" t="s">
        <v>16</v>
      </c>
      <c r="F927" s="159">
        <v>20416</v>
      </c>
      <c r="G927" s="159">
        <v>40832</v>
      </c>
      <c r="H927" s="159">
        <v>61248</v>
      </c>
    </row>
    <row r="928" spans="1:8" hidden="1" x14ac:dyDescent="0.25">
      <c r="A928" s="158">
        <v>1197</v>
      </c>
      <c r="B928" s="156" t="s">
        <v>776</v>
      </c>
      <c r="C928" s="156" t="s">
        <v>305</v>
      </c>
      <c r="D928" s="156" t="s">
        <v>203</v>
      </c>
      <c r="E928" s="156" t="s">
        <v>17</v>
      </c>
      <c r="F928" s="159">
        <v>20824</v>
      </c>
      <c r="G928" s="159">
        <v>41648</v>
      </c>
      <c r="H928" s="159">
        <v>62472</v>
      </c>
    </row>
    <row r="929" spans="1:8" hidden="1" x14ac:dyDescent="0.25">
      <c r="A929" s="158">
        <v>1198</v>
      </c>
      <c r="B929" s="156" t="s">
        <v>776</v>
      </c>
      <c r="C929" s="156" t="s">
        <v>305</v>
      </c>
      <c r="D929" s="156" t="s">
        <v>203</v>
      </c>
      <c r="E929" s="156" t="s">
        <v>18</v>
      </c>
      <c r="F929" s="159">
        <v>21241</v>
      </c>
      <c r="G929" s="159">
        <v>42482</v>
      </c>
      <c r="H929" s="159">
        <v>63723</v>
      </c>
    </row>
    <row r="930" spans="1:8" hidden="1" x14ac:dyDescent="0.25">
      <c r="A930" s="158">
        <v>1199</v>
      </c>
      <c r="B930" s="156" t="s">
        <v>776</v>
      </c>
      <c r="C930" s="156" t="s">
        <v>305</v>
      </c>
      <c r="D930" s="156" t="s">
        <v>203</v>
      </c>
      <c r="E930" s="156" t="s">
        <v>19</v>
      </c>
      <c r="F930" s="159">
        <v>21665</v>
      </c>
      <c r="G930" s="159">
        <v>43331</v>
      </c>
      <c r="H930" s="159">
        <v>64997</v>
      </c>
    </row>
    <row r="931" spans="1:8" hidden="1" x14ac:dyDescent="0.25">
      <c r="A931" s="158">
        <v>1200</v>
      </c>
      <c r="B931" s="156" t="s">
        <v>776</v>
      </c>
      <c r="C931" s="156" t="s">
        <v>305</v>
      </c>
      <c r="D931" s="156" t="s">
        <v>203</v>
      </c>
      <c r="E931" s="156" t="s">
        <v>20</v>
      </c>
      <c r="F931" s="159">
        <v>22099</v>
      </c>
      <c r="G931" s="159">
        <v>44198</v>
      </c>
      <c r="H931" s="159">
        <v>66297</v>
      </c>
    </row>
    <row r="932" spans="1:8" hidden="1" x14ac:dyDescent="0.25">
      <c r="A932" s="158">
        <v>1201</v>
      </c>
      <c r="B932" s="156" t="s">
        <v>776</v>
      </c>
      <c r="C932" s="156" t="s">
        <v>328</v>
      </c>
      <c r="D932" s="156" t="s">
        <v>14</v>
      </c>
      <c r="E932" s="156" t="s">
        <v>15</v>
      </c>
      <c r="F932" s="159">
        <v>19071</v>
      </c>
      <c r="G932" s="159">
        <v>38142</v>
      </c>
      <c r="H932" s="159">
        <v>57213</v>
      </c>
    </row>
    <row r="933" spans="1:8" hidden="1" x14ac:dyDescent="0.25">
      <c r="A933" s="158">
        <v>1202</v>
      </c>
      <c r="B933" s="156" t="s">
        <v>776</v>
      </c>
      <c r="C933" s="156" t="s">
        <v>328</v>
      </c>
      <c r="D933" s="156" t="s">
        <v>14</v>
      </c>
      <c r="E933" s="156" t="s">
        <v>16</v>
      </c>
      <c r="F933" s="159">
        <v>19453</v>
      </c>
      <c r="G933" s="159">
        <v>38906</v>
      </c>
      <c r="H933" s="159">
        <v>58359</v>
      </c>
    </row>
    <row r="934" spans="1:8" hidden="1" x14ac:dyDescent="0.25">
      <c r="A934" s="158">
        <v>1203</v>
      </c>
      <c r="B934" s="156" t="s">
        <v>776</v>
      </c>
      <c r="C934" s="156" t="s">
        <v>328</v>
      </c>
      <c r="D934" s="156" t="s">
        <v>14</v>
      </c>
      <c r="E934" s="156" t="s">
        <v>17</v>
      </c>
      <c r="F934" s="159">
        <v>19842</v>
      </c>
      <c r="G934" s="159">
        <v>39684</v>
      </c>
      <c r="H934" s="159">
        <v>59526</v>
      </c>
    </row>
    <row r="935" spans="1:8" hidden="1" x14ac:dyDescent="0.25">
      <c r="A935" s="158">
        <v>1204</v>
      </c>
      <c r="B935" s="156" t="s">
        <v>776</v>
      </c>
      <c r="C935" s="156" t="s">
        <v>328</v>
      </c>
      <c r="D935" s="156" t="s">
        <v>14</v>
      </c>
      <c r="E935" s="156" t="s">
        <v>18</v>
      </c>
      <c r="F935" s="159">
        <v>20238</v>
      </c>
      <c r="G935" s="159">
        <v>40476</v>
      </c>
      <c r="H935" s="159">
        <v>60714</v>
      </c>
    </row>
    <row r="936" spans="1:8" hidden="1" x14ac:dyDescent="0.25">
      <c r="A936" s="158">
        <v>1205</v>
      </c>
      <c r="B936" s="156" t="s">
        <v>776</v>
      </c>
      <c r="C936" s="156" t="s">
        <v>328</v>
      </c>
      <c r="D936" s="156" t="s">
        <v>14</v>
      </c>
      <c r="E936" s="156" t="s">
        <v>19</v>
      </c>
      <c r="F936" s="159">
        <v>20643</v>
      </c>
      <c r="G936" s="159">
        <v>41286</v>
      </c>
      <c r="H936" s="159">
        <v>61929</v>
      </c>
    </row>
    <row r="937" spans="1:8" hidden="1" x14ac:dyDescent="0.25">
      <c r="A937" s="158">
        <v>1206</v>
      </c>
      <c r="B937" s="156" t="s">
        <v>776</v>
      </c>
      <c r="C937" s="156" t="s">
        <v>328</v>
      </c>
      <c r="D937" s="156" t="s">
        <v>14</v>
      </c>
      <c r="E937" s="156" t="s">
        <v>20</v>
      </c>
      <c r="F937" s="159">
        <v>21056</v>
      </c>
      <c r="G937" s="159">
        <v>42112</v>
      </c>
      <c r="H937" s="159">
        <v>63168</v>
      </c>
    </row>
    <row r="938" spans="1:8" hidden="1" x14ac:dyDescent="0.25">
      <c r="A938" s="158">
        <v>1207</v>
      </c>
      <c r="B938" s="156" t="s">
        <v>776</v>
      </c>
      <c r="C938" s="156" t="s">
        <v>328</v>
      </c>
      <c r="D938" s="156" t="s">
        <v>21</v>
      </c>
      <c r="E938" s="156" t="s">
        <v>15</v>
      </c>
      <c r="F938" s="159">
        <v>21477</v>
      </c>
      <c r="G938" s="159">
        <v>42954</v>
      </c>
      <c r="H938" s="159">
        <v>64431</v>
      </c>
    </row>
    <row r="939" spans="1:8" hidden="1" x14ac:dyDescent="0.25">
      <c r="A939" s="158">
        <v>1208</v>
      </c>
      <c r="B939" s="156" t="s">
        <v>776</v>
      </c>
      <c r="C939" s="156" t="s">
        <v>328</v>
      </c>
      <c r="D939" s="156" t="s">
        <v>21</v>
      </c>
      <c r="E939" s="156" t="s">
        <v>16</v>
      </c>
      <c r="F939" s="159">
        <v>21907</v>
      </c>
      <c r="G939" s="159">
        <v>43814</v>
      </c>
      <c r="H939" s="159">
        <v>65721</v>
      </c>
    </row>
    <row r="940" spans="1:8" hidden="1" x14ac:dyDescent="0.25">
      <c r="A940" s="158">
        <v>1209</v>
      </c>
      <c r="B940" s="156" t="s">
        <v>776</v>
      </c>
      <c r="C940" s="156" t="s">
        <v>328</v>
      </c>
      <c r="D940" s="156" t="s">
        <v>21</v>
      </c>
      <c r="E940" s="156" t="s">
        <v>17</v>
      </c>
      <c r="F940" s="159">
        <v>22345</v>
      </c>
      <c r="G940" s="159">
        <v>44690</v>
      </c>
      <c r="H940" s="159">
        <v>67035</v>
      </c>
    </row>
    <row r="941" spans="1:8" hidden="1" x14ac:dyDescent="0.25">
      <c r="A941" s="158">
        <v>1210</v>
      </c>
      <c r="B941" s="156" t="s">
        <v>776</v>
      </c>
      <c r="C941" s="156" t="s">
        <v>328</v>
      </c>
      <c r="D941" s="156" t="s">
        <v>21</v>
      </c>
      <c r="E941" s="156" t="s">
        <v>18</v>
      </c>
      <c r="F941" s="159">
        <v>22792</v>
      </c>
      <c r="G941" s="159">
        <v>45584</v>
      </c>
      <c r="H941" s="159">
        <v>68376</v>
      </c>
    </row>
    <row r="942" spans="1:8" hidden="1" x14ac:dyDescent="0.25">
      <c r="A942" s="158">
        <v>1211</v>
      </c>
      <c r="B942" s="156" t="s">
        <v>776</v>
      </c>
      <c r="C942" s="156" t="s">
        <v>328</v>
      </c>
      <c r="D942" s="156" t="s">
        <v>21</v>
      </c>
      <c r="E942" s="156" t="s">
        <v>19</v>
      </c>
      <c r="F942" s="159">
        <v>23247</v>
      </c>
      <c r="G942" s="159">
        <v>46494</v>
      </c>
      <c r="H942" s="159">
        <v>69741</v>
      </c>
    </row>
    <row r="943" spans="1:8" hidden="1" x14ac:dyDescent="0.25">
      <c r="A943" s="158">
        <v>1212</v>
      </c>
      <c r="B943" s="156" t="s">
        <v>776</v>
      </c>
      <c r="C943" s="156" t="s">
        <v>328</v>
      </c>
      <c r="D943" s="156" t="s">
        <v>21</v>
      </c>
      <c r="E943" s="156" t="s">
        <v>20</v>
      </c>
      <c r="F943" s="159">
        <v>23712</v>
      </c>
      <c r="G943" s="159">
        <v>47424</v>
      </c>
      <c r="H943" s="159">
        <v>71136</v>
      </c>
    </row>
    <row r="944" spans="1:8" hidden="1" x14ac:dyDescent="0.25">
      <c r="A944" s="158">
        <v>1213</v>
      </c>
      <c r="B944" s="156" t="s">
        <v>776</v>
      </c>
      <c r="C944" s="156" t="s">
        <v>328</v>
      </c>
      <c r="D944" s="156" t="s">
        <v>203</v>
      </c>
      <c r="E944" s="156" t="s">
        <v>15</v>
      </c>
      <c r="F944" s="159">
        <v>24187</v>
      </c>
      <c r="G944" s="159">
        <v>48374</v>
      </c>
      <c r="H944" s="159">
        <v>72561</v>
      </c>
    </row>
    <row r="945" spans="1:8" hidden="1" x14ac:dyDescent="0.25">
      <c r="A945" s="158">
        <v>1214</v>
      </c>
      <c r="B945" s="156" t="s">
        <v>776</v>
      </c>
      <c r="C945" s="156" t="s">
        <v>328</v>
      </c>
      <c r="D945" s="156" t="s">
        <v>203</v>
      </c>
      <c r="E945" s="156" t="s">
        <v>16</v>
      </c>
      <c r="F945" s="159">
        <v>24670</v>
      </c>
      <c r="G945" s="159">
        <v>49340</v>
      </c>
      <c r="H945" s="159">
        <v>74010</v>
      </c>
    </row>
    <row r="946" spans="1:8" hidden="1" x14ac:dyDescent="0.25">
      <c r="A946" s="158">
        <v>1215</v>
      </c>
      <c r="B946" s="156" t="s">
        <v>776</v>
      </c>
      <c r="C946" s="156" t="s">
        <v>328</v>
      </c>
      <c r="D946" s="156" t="s">
        <v>203</v>
      </c>
      <c r="E946" s="156" t="s">
        <v>17</v>
      </c>
      <c r="F946" s="159">
        <v>25164</v>
      </c>
      <c r="G946" s="159">
        <v>50328</v>
      </c>
      <c r="H946" s="159">
        <v>75492</v>
      </c>
    </row>
    <row r="947" spans="1:8" hidden="1" x14ac:dyDescent="0.25">
      <c r="A947" s="158">
        <v>1216</v>
      </c>
      <c r="B947" s="156" t="s">
        <v>776</v>
      </c>
      <c r="C947" s="156" t="s">
        <v>328</v>
      </c>
      <c r="D947" s="156" t="s">
        <v>203</v>
      </c>
      <c r="E947" s="156" t="s">
        <v>18</v>
      </c>
      <c r="F947" s="159">
        <v>25667</v>
      </c>
      <c r="G947" s="159">
        <v>51334</v>
      </c>
      <c r="H947" s="159">
        <v>77001</v>
      </c>
    </row>
    <row r="948" spans="1:8" hidden="1" x14ac:dyDescent="0.25">
      <c r="A948" s="158">
        <v>1217</v>
      </c>
      <c r="B948" s="156" t="s">
        <v>776</v>
      </c>
      <c r="C948" s="156" t="s">
        <v>328</v>
      </c>
      <c r="D948" s="156" t="s">
        <v>203</v>
      </c>
      <c r="E948" s="156" t="s">
        <v>19</v>
      </c>
      <c r="F948" s="159">
        <v>26180</v>
      </c>
      <c r="G948" s="159">
        <v>52360</v>
      </c>
      <c r="H948" s="159">
        <v>78541</v>
      </c>
    </row>
    <row r="949" spans="1:8" hidden="1" x14ac:dyDescent="0.25">
      <c r="A949" s="158">
        <v>1218</v>
      </c>
      <c r="B949" s="156" t="s">
        <v>776</v>
      </c>
      <c r="C949" s="156" t="s">
        <v>328</v>
      </c>
      <c r="D949" s="156" t="s">
        <v>203</v>
      </c>
      <c r="E949" s="156" t="s">
        <v>20</v>
      </c>
      <c r="F949" s="159">
        <v>26709</v>
      </c>
      <c r="G949" s="159">
        <v>53407</v>
      </c>
      <c r="H949" s="159">
        <v>80111</v>
      </c>
    </row>
    <row r="950" spans="1:8" hidden="1" x14ac:dyDescent="0.25">
      <c r="A950" s="158">
        <v>1219</v>
      </c>
      <c r="B950" s="156" t="s">
        <v>776</v>
      </c>
      <c r="C950" s="156" t="s">
        <v>361</v>
      </c>
      <c r="D950" s="156" t="s">
        <v>14</v>
      </c>
      <c r="E950" s="156" t="s">
        <v>15</v>
      </c>
      <c r="F950" s="159">
        <v>12997</v>
      </c>
      <c r="G950" s="159">
        <v>25994</v>
      </c>
      <c r="H950" s="159">
        <v>38991</v>
      </c>
    </row>
    <row r="951" spans="1:8" hidden="1" x14ac:dyDescent="0.25">
      <c r="A951" s="158">
        <v>1220</v>
      </c>
      <c r="B951" s="156" t="s">
        <v>776</v>
      </c>
      <c r="C951" s="156" t="s">
        <v>361</v>
      </c>
      <c r="D951" s="156" t="s">
        <v>14</v>
      </c>
      <c r="E951" s="156" t="s">
        <v>16</v>
      </c>
      <c r="F951" s="159">
        <v>13257</v>
      </c>
      <c r="G951" s="159">
        <v>26514</v>
      </c>
      <c r="H951" s="159">
        <v>39771</v>
      </c>
    </row>
    <row r="952" spans="1:8" hidden="1" x14ac:dyDescent="0.25">
      <c r="A952" s="158">
        <v>1221</v>
      </c>
      <c r="B952" s="156" t="s">
        <v>776</v>
      </c>
      <c r="C952" s="156" t="s">
        <v>361</v>
      </c>
      <c r="D952" s="156" t="s">
        <v>14</v>
      </c>
      <c r="E952" s="156" t="s">
        <v>17</v>
      </c>
      <c r="F952" s="159">
        <v>13522</v>
      </c>
      <c r="G952" s="159">
        <v>27044</v>
      </c>
      <c r="H952" s="159">
        <v>40566</v>
      </c>
    </row>
    <row r="953" spans="1:8" hidden="1" x14ac:dyDescent="0.25">
      <c r="A953" s="158">
        <v>1222</v>
      </c>
      <c r="B953" s="156" t="s">
        <v>776</v>
      </c>
      <c r="C953" s="156" t="s">
        <v>361</v>
      </c>
      <c r="D953" s="156" t="s">
        <v>14</v>
      </c>
      <c r="E953" s="156" t="s">
        <v>18</v>
      </c>
      <c r="F953" s="159">
        <v>13792</v>
      </c>
      <c r="G953" s="159">
        <v>27584</v>
      </c>
      <c r="H953" s="159">
        <v>41376</v>
      </c>
    </row>
    <row r="954" spans="1:8" hidden="1" x14ac:dyDescent="0.25">
      <c r="A954" s="158">
        <v>1223</v>
      </c>
      <c r="B954" s="156" t="s">
        <v>776</v>
      </c>
      <c r="C954" s="156" t="s">
        <v>361</v>
      </c>
      <c r="D954" s="156" t="s">
        <v>14</v>
      </c>
      <c r="E954" s="156" t="s">
        <v>19</v>
      </c>
      <c r="F954" s="159">
        <v>14068</v>
      </c>
      <c r="G954" s="159">
        <v>28136</v>
      </c>
      <c r="H954" s="159">
        <v>42204</v>
      </c>
    </row>
    <row r="955" spans="1:8" hidden="1" x14ac:dyDescent="0.25">
      <c r="A955" s="158">
        <v>1224</v>
      </c>
      <c r="B955" s="156" t="s">
        <v>776</v>
      </c>
      <c r="C955" s="156" t="s">
        <v>361</v>
      </c>
      <c r="D955" s="156" t="s">
        <v>14</v>
      </c>
      <c r="E955" s="156" t="s">
        <v>20</v>
      </c>
      <c r="F955" s="159">
        <v>14350</v>
      </c>
      <c r="G955" s="159">
        <v>28700</v>
      </c>
      <c r="H955" s="159">
        <v>43050</v>
      </c>
    </row>
    <row r="956" spans="1:8" hidden="1" x14ac:dyDescent="0.25">
      <c r="A956" s="158">
        <v>1225</v>
      </c>
      <c r="B956" s="156" t="s">
        <v>776</v>
      </c>
      <c r="C956" s="156" t="s">
        <v>361</v>
      </c>
      <c r="D956" s="156" t="s">
        <v>21</v>
      </c>
      <c r="E956" s="156" t="s">
        <v>15</v>
      </c>
      <c r="F956" s="159">
        <v>14636</v>
      </c>
      <c r="G956" s="159">
        <v>29272</v>
      </c>
      <c r="H956" s="159">
        <v>43908</v>
      </c>
    </row>
    <row r="957" spans="1:8" hidden="1" x14ac:dyDescent="0.25">
      <c r="A957" s="158">
        <v>1226</v>
      </c>
      <c r="B957" s="156" t="s">
        <v>776</v>
      </c>
      <c r="C957" s="156" t="s">
        <v>361</v>
      </c>
      <c r="D957" s="156" t="s">
        <v>21</v>
      </c>
      <c r="E957" s="156" t="s">
        <v>16</v>
      </c>
      <c r="F957" s="159">
        <v>14929</v>
      </c>
      <c r="G957" s="159">
        <v>29858</v>
      </c>
      <c r="H957" s="159">
        <v>44787</v>
      </c>
    </row>
    <row r="958" spans="1:8" hidden="1" x14ac:dyDescent="0.25">
      <c r="A958" s="158">
        <v>1227</v>
      </c>
      <c r="B958" s="156" t="s">
        <v>776</v>
      </c>
      <c r="C958" s="156" t="s">
        <v>361</v>
      </c>
      <c r="D958" s="156" t="s">
        <v>21</v>
      </c>
      <c r="E958" s="156" t="s">
        <v>17</v>
      </c>
      <c r="F958" s="159">
        <v>15228</v>
      </c>
      <c r="G958" s="159">
        <v>30456</v>
      </c>
      <c r="H958" s="159">
        <v>45684</v>
      </c>
    </row>
    <row r="959" spans="1:8" hidden="1" x14ac:dyDescent="0.25">
      <c r="A959" s="158">
        <v>1228</v>
      </c>
      <c r="B959" s="156" t="s">
        <v>776</v>
      </c>
      <c r="C959" s="156" t="s">
        <v>361</v>
      </c>
      <c r="D959" s="156" t="s">
        <v>21</v>
      </c>
      <c r="E959" s="156" t="s">
        <v>18</v>
      </c>
      <c r="F959" s="159">
        <v>15532</v>
      </c>
      <c r="G959" s="159">
        <v>31064</v>
      </c>
      <c r="H959" s="159">
        <v>46596</v>
      </c>
    </row>
    <row r="960" spans="1:8" hidden="1" x14ac:dyDescent="0.25">
      <c r="A960" s="158">
        <v>1229</v>
      </c>
      <c r="B960" s="156" t="s">
        <v>776</v>
      </c>
      <c r="C960" s="156" t="s">
        <v>361</v>
      </c>
      <c r="D960" s="156" t="s">
        <v>21</v>
      </c>
      <c r="E960" s="156" t="s">
        <v>19</v>
      </c>
      <c r="F960" s="159">
        <v>15843</v>
      </c>
      <c r="G960" s="159">
        <v>31686</v>
      </c>
      <c r="H960" s="159">
        <v>47529</v>
      </c>
    </row>
    <row r="961" spans="1:8" hidden="1" x14ac:dyDescent="0.25">
      <c r="A961" s="158">
        <v>1230</v>
      </c>
      <c r="B961" s="156" t="s">
        <v>776</v>
      </c>
      <c r="C961" s="156" t="s">
        <v>361</v>
      </c>
      <c r="D961" s="156" t="s">
        <v>21</v>
      </c>
      <c r="E961" s="156" t="s">
        <v>20</v>
      </c>
      <c r="F961" s="159">
        <v>16160</v>
      </c>
      <c r="G961" s="159">
        <v>32320</v>
      </c>
      <c r="H961" s="159">
        <v>48480</v>
      </c>
    </row>
    <row r="962" spans="1:8" hidden="1" x14ac:dyDescent="0.25">
      <c r="A962" s="158">
        <v>1231</v>
      </c>
      <c r="B962" s="156" t="s">
        <v>776</v>
      </c>
      <c r="C962" s="156" t="s">
        <v>361</v>
      </c>
      <c r="D962" s="156" t="s">
        <v>203</v>
      </c>
      <c r="E962" s="156" t="s">
        <v>15</v>
      </c>
      <c r="F962" s="159">
        <v>16483</v>
      </c>
      <c r="G962" s="159">
        <v>32966</v>
      </c>
      <c r="H962" s="159">
        <v>49449</v>
      </c>
    </row>
    <row r="963" spans="1:8" hidden="1" x14ac:dyDescent="0.25">
      <c r="A963" s="158">
        <v>1232</v>
      </c>
      <c r="B963" s="156" t="s">
        <v>776</v>
      </c>
      <c r="C963" s="156" t="s">
        <v>361</v>
      </c>
      <c r="D963" s="156" t="s">
        <v>203</v>
      </c>
      <c r="E963" s="156" t="s">
        <v>16</v>
      </c>
      <c r="F963" s="159">
        <v>16813</v>
      </c>
      <c r="G963" s="159">
        <v>33626</v>
      </c>
      <c r="H963" s="159">
        <v>50439</v>
      </c>
    </row>
    <row r="964" spans="1:8" hidden="1" x14ac:dyDescent="0.25">
      <c r="A964" s="158">
        <v>1233</v>
      </c>
      <c r="B964" s="156" t="s">
        <v>776</v>
      </c>
      <c r="C964" s="156" t="s">
        <v>361</v>
      </c>
      <c r="D964" s="156" t="s">
        <v>203</v>
      </c>
      <c r="E964" s="156" t="s">
        <v>17</v>
      </c>
      <c r="F964" s="159">
        <v>17149</v>
      </c>
      <c r="G964" s="159">
        <v>34298</v>
      </c>
      <c r="H964" s="159">
        <v>51447</v>
      </c>
    </row>
    <row r="965" spans="1:8" hidden="1" x14ac:dyDescent="0.25">
      <c r="A965" s="158">
        <v>1234</v>
      </c>
      <c r="B965" s="156" t="s">
        <v>776</v>
      </c>
      <c r="C965" s="156" t="s">
        <v>361</v>
      </c>
      <c r="D965" s="156" t="s">
        <v>203</v>
      </c>
      <c r="E965" s="156" t="s">
        <v>18</v>
      </c>
      <c r="F965" s="159">
        <v>17492</v>
      </c>
      <c r="G965" s="159">
        <v>34984</v>
      </c>
      <c r="H965" s="159">
        <v>52476</v>
      </c>
    </row>
    <row r="966" spans="1:8" hidden="1" x14ac:dyDescent="0.25">
      <c r="A966" s="158">
        <v>1235</v>
      </c>
      <c r="B966" s="156" t="s">
        <v>776</v>
      </c>
      <c r="C966" s="156" t="s">
        <v>361</v>
      </c>
      <c r="D966" s="156" t="s">
        <v>203</v>
      </c>
      <c r="E966" s="156" t="s">
        <v>19</v>
      </c>
      <c r="F966" s="159">
        <v>17841</v>
      </c>
      <c r="G966" s="159">
        <v>35683</v>
      </c>
      <c r="H966" s="159">
        <v>53525</v>
      </c>
    </row>
    <row r="967" spans="1:8" hidden="1" x14ac:dyDescent="0.25">
      <c r="A967" s="158">
        <v>1236</v>
      </c>
      <c r="B967" s="156" t="s">
        <v>776</v>
      </c>
      <c r="C967" s="156" t="s">
        <v>361</v>
      </c>
      <c r="D967" s="156" t="s">
        <v>203</v>
      </c>
      <c r="E967" s="156" t="s">
        <v>20</v>
      </c>
      <c r="F967" s="159">
        <v>18198</v>
      </c>
      <c r="G967" s="159">
        <v>36397</v>
      </c>
      <c r="H967" s="159">
        <v>54596</v>
      </c>
    </row>
    <row r="968" spans="1:8" hidden="1" x14ac:dyDescent="0.25">
      <c r="A968" s="158">
        <v>1237</v>
      </c>
      <c r="B968" s="156" t="s">
        <v>776</v>
      </c>
      <c r="C968" s="156" t="s">
        <v>262</v>
      </c>
      <c r="D968" s="156" t="s">
        <v>14</v>
      </c>
      <c r="E968" s="156" t="s">
        <v>15</v>
      </c>
      <c r="F968" s="159">
        <v>11008</v>
      </c>
      <c r="G968" s="159">
        <v>22016</v>
      </c>
      <c r="H968" s="159">
        <v>33024</v>
      </c>
    </row>
    <row r="969" spans="1:8" hidden="1" x14ac:dyDescent="0.25">
      <c r="A969" s="158">
        <v>1238</v>
      </c>
      <c r="B969" s="156" t="s">
        <v>776</v>
      </c>
      <c r="C969" s="156" t="s">
        <v>262</v>
      </c>
      <c r="D969" s="156" t="s">
        <v>14</v>
      </c>
      <c r="E969" s="156" t="s">
        <v>16</v>
      </c>
      <c r="F969" s="159">
        <v>11228</v>
      </c>
      <c r="G969" s="159">
        <v>22456</v>
      </c>
      <c r="H969" s="159">
        <v>33684</v>
      </c>
    </row>
    <row r="970" spans="1:8" hidden="1" x14ac:dyDescent="0.25">
      <c r="A970" s="158">
        <v>1239</v>
      </c>
      <c r="B970" s="156" t="s">
        <v>776</v>
      </c>
      <c r="C970" s="156" t="s">
        <v>262</v>
      </c>
      <c r="D970" s="156" t="s">
        <v>14</v>
      </c>
      <c r="E970" s="156" t="s">
        <v>17</v>
      </c>
      <c r="F970" s="159">
        <v>11453</v>
      </c>
      <c r="G970" s="159">
        <v>22906</v>
      </c>
      <c r="H970" s="159">
        <v>34359</v>
      </c>
    </row>
    <row r="971" spans="1:8" hidden="1" x14ac:dyDescent="0.25">
      <c r="A971" s="158">
        <v>1240</v>
      </c>
      <c r="B971" s="156" t="s">
        <v>776</v>
      </c>
      <c r="C971" s="156" t="s">
        <v>262</v>
      </c>
      <c r="D971" s="156" t="s">
        <v>14</v>
      </c>
      <c r="E971" s="156" t="s">
        <v>18</v>
      </c>
      <c r="F971" s="159">
        <v>11682</v>
      </c>
      <c r="G971" s="159">
        <v>23364</v>
      </c>
      <c r="H971" s="159">
        <v>35046</v>
      </c>
    </row>
    <row r="972" spans="1:8" hidden="1" x14ac:dyDescent="0.25">
      <c r="A972" s="158">
        <v>1241</v>
      </c>
      <c r="B972" s="156" t="s">
        <v>776</v>
      </c>
      <c r="C972" s="156" t="s">
        <v>262</v>
      </c>
      <c r="D972" s="156" t="s">
        <v>14</v>
      </c>
      <c r="E972" s="156" t="s">
        <v>19</v>
      </c>
      <c r="F972" s="159">
        <v>11915</v>
      </c>
      <c r="G972" s="159">
        <v>23830</v>
      </c>
      <c r="H972" s="159">
        <v>35745</v>
      </c>
    </row>
    <row r="973" spans="1:8" hidden="1" x14ac:dyDescent="0.25">
      <c r="A973" s="158">
        <v>1242</v>
      </c>
      <c r="B973" s="156" t="s">
        <v>776</v>
      </c>
      <c r="C973" s="156" t="s">
        <v>262</v>
      </c>
      <c r="D973" s="156" t="s">
        <v>14</v>
      </c>
      <c r="E973" s="156" t="s">
        <v>20</v>
      </c>
      <c r="F973" s="159">
        <v>12154</v>
      </c>
      <c r="G973" s="159">
        <v>24308</v>
      </c>
      <c r="H973" s="159">
        <v>36462</v>
      </c>
    </row>
    <row r="974" spans="1:8" hidden="1" x14ac:dyDescent="0.25">
      <c r="A974" s="158">
        <v>1243</v>
      </c>
      <c r="B974" s="156" t="s">
        <v>776</v>
      </c>
      <c r="C974" s="156" t="s">
        <v>262</v>
      </c>
      <c r="D974" s="156" t="s">
        <v>21</v>
      </c>
      <c r="E974" s="156" t="s">
        <v>15</v>
      </c>
      <c r="F974" s="159">
        <v>12397</v>
      </c>
      <c r="G974" s="159">
        <v>24794</v>
      </c>
      <c r="H974" s="159">
        <v>37191</v>
      </c>
    </row>
    <row r="975" spans="1:8" hidden="1" x14ac:dyDescent="0.25">
      <c r="A975" s="158">
        <v>1244</v>
      </c>
      <c r="B975" s="156" t="s">
        <v>776</v>
      </c>
      <c r="C975" s="156" t="s">
        <v>262</v>
      </c>
      <c r="D975" s="156" t="s">
        <v>21</v>
      </c>
      <c r="E975" s="156" t="s">
        <v>16</v>
      </c>
      <c r="F975" s="159">
        <v>12645</v>
      </c>
      <c r="G975" s="159">
        <v>25290</v>
      </c>
      <c r="H975" s="159">
        <v>37935</v>
      </c>
    </row>
    <row r="976" spans="1:8" hidden="1" x14ac:dyDescent="0.25">
      <c r="A976" s="158">
        <v>1245</v>
      </c>
      <c r="B976" s="156" t="s">
        <v>776</v>
      </c>
      <c r="C976" s="156" t="s">
        <v>262</v>
      </c>
      <c r="D976" s="156" t="s">
        <v>21</v>
      </c>
      <c r="E976" s="156" t="s">
        <v>17</v>
      </c>
      <c r="F976" s="159">
        <v>12897</v>
      </c>
      <c r="G976" s="159">
        <v>25794</v>
      </c>
      <c r="H976" s="159">
        <v>38691</v>
      </c>
    </row>
    <row r="977" spans="1:8" hidden="1" x14ac:dyDescent="0.25">
      <c r="A977" s="158">
        <v>1246</v>
      </c>
      <c r="B977" s="156" t="s">
        <v>776</v>
      </c>
      <c r="C977" s="156" t="s">
        <v>262</v>
      </c>
      <c r="D977" s="156" t="s">
        <v>21</v>
      </c>
      <c r="E977" s="156" t="s">
        <v>18</v>
      </c>
      <c r="F977" s="159">
        <v>13156</v>
      </c>
      <c r="G977" s="159">
        <v>26312</v>
      </c>
      <c r="H977" s="159">
        <v>39468</v>
      </c>
    </row>
    <row r="978" spans="1:8" hidden="1" x14ac:dyDescent="0.25">
      <c r="A978" s="158">
        <v>1247</v>
      </c>
      <c r="B978" s="156" t="s">
        <v>776</v>
      </c>
      <c r="C978" s="156" t="s">
        <v>262</v>
      </c>
      <c r="D978" s="156" t="s">
        <v>21</v>
      </c>
      <c r="E978" s="156" t="s">
        <v>19</v>
      </c>
      <c r="F978" s="159">
        <v>13419</v>
      </c>
      <c r="G978" s="159">
        <v>26838</v>
      </c>
      <c r="H978" s="159">
        <v>40257</v>
      </c>
    </row>
    <row r="979" spans="1:8" hidden="1" x14ac:dyDescent="0.25">
      <c r="A979" s="158">
        <v>1248</v>
      </c>
      <c r="B979" s="156" t="s">
        <v>776</v>
      </c>
      <c r="C979" s="156" t="s">
        <v>262</v>
      </c>
      <c r="D979" s="156" t="s">
        <v>21</v>
      </c>
      <c r="E979" s="156" t="s">
        <v>20</v>
      </c>
      <c r="F979" s="159">
        <v>13687</v>
      </c>
      <c r="G979" s="159">
        <v>27374</v>
      </c>
      <c r="H979" s="159">
        <v>41061</v>
      </c>
    </row>
    <row r="980" spans="1:8" hidden="1" x14ac:dyDescent="0.25">
      <c r="A980" s="158">
        <v>1249</v>
      </c>
      <c r="B980" s="156" t="s">
        <v>776</v>
      </c>
      <c r="C980" s="156" t="s">
        <v>262</v>
      </c>
      <c r="D980" s="156" t="s">
        <v>203</v>
      </c>
      <c r="E980" s="156" t="s">
        <v>15</v>
      </c>
      <c r="F980" s="159">
        <v>13961</v>
      </c>
      <c r="G980" s="159">
        <v>27922</v>
      </c>
      <c r="H980" s="159">
        <v>41883</v>
      </c>
    </row>
    <row r="981" spans="1:8" hidden="1" x14ac:dyDescent="0.25">
      <c r="A981" s="158">
        <v>1250</v>
      </c>
      <c r="B981" s="156" t="s">
        <v>776</v>
      </c>
      <c r="C981" s="156" t="s">
        <v>262</v>
      </c>
      <c r="D981" s="156" t="s">
        <v>203</v>
      </c>
      <c r="E981" s="156" t="s">
        <v>16</v>
      </c>
      <c r="F981" s="159">
        <v>14240</v>
      </c>
      <c r="G981" s="159">
        <v>28480</v>
      </c>
      <c r="H981" s="159">
        <v>42720</v>
      </c>
    </row>
    <row r="982" spans="1:8" hidden="1" x14ac:dyDescent="0.25">
      <c r="A982" s="158">
        <v>1251</v>
      </c>
      <c r="B982" s="156" t="s">
        <v>776</v>
      </c>
      <c r="C982" s="156" t="s">
        <v>262</v>
      </c>
      <c r="D982" s="156" t="s">
        <v>203</v>
      </c>
      <c r="E982" s="156" t="s">
        <v>17</v>
      </c>
      <c r="F982" s="159">
        <v>14525</v>
      </c>
      <c r="G982" s="159">
        <v>29050</v>
      </c>
      <c r="H982" s="159">
        <v>43575</v>
      </c>
    </row>
    <row r="983" spans="1:8" hidden="1" x14ac:dyDescent="0.25">
      <c r="A983" s="158">
        <v>1252</v>
      </c>
      <c r="B983" s="156" t="s">
        <v>776</v>
      </c>
      <c r="C983" s="156" t="s">
        <v>262</v>
      </c>
      <c r="D983" s="156" t="s">
        <v>203</v>
      </c>
      <c r="E983" s="156" t="s">
        <v>18</v>
      </c>
      <c r="F983" s="159">
        <v>14815</v>
      </c>
      <c r="G983" s="159">
        <v>29630</v>
      </c>
      <c r="H983" s="159">
        <v>44445</v>
      </c>
    </row>
    <row r="984" spans="1:8" hidden="1" x14ac:dyDescent="0.25">
      <c r="A984" s="158">
        <v>1253</v>
      </c>
      <c r="B984" s="156" t="s">
        <v>776</v>
      </c>
      <c r="C984" s="156" t="s">
        <v>262</v>
      </c>
      <c r="D984" s="156" t="s">
        <v>203</v>
      </c>
      <c r="E984" s="156" t="s">
        <v>19</v>
      </c>
      <c r="F984" s="159">
        <v>15111</v>
      </c>
      <c r="G984" s="159">
        <v>30222</v>
      </c>
      <c r="H984" s="159">
        <v>45333</v>
      </c>
    </row>
    <row r="985" spans="1:8" hidden="1" x14ac:dyDescent="0.25">
      <c r="A985" s="158">
        <v>1254</v>
      </c>
      <c r="B985" s="156" t="s">
        <v>776</v>
      </c>
      <c r="C985" s="156" t="s">
        <v>262</v>
      </c>
      <c r="D985" s="156" t="s">
        <v>203</v>
      </c>
      <c r="E985" s="156" t="s">
        <v>20</v>
      </c>
      <c r="F985" s="159">
        <v>15413</v>
      </c>
      <c r="G985" s="159">
        <v>30827</v>
      </c>
      <c r="H985" s="159">
        <v>46240</v>
      </c>
    </row>
    <row r="986" spans="1:8" hidden="1" x14ac:dyDescent="0.25">
      <c r="A986" s="158">
        <v>1255</v>
      </c>
      <c r="B986" s="156" t="s">
        <v>776</v>
      </c>
      <c r="C986" s="156" t="s">
        <v>359</v>
      </c>
      <c r="D986" s="156" t="s">
        <v>14</v>
      </c>
      <c r="E986" s="156" t="s">
        <v>15</v>
      </c>
      <c r="F986" s="159">
        <v>11008</v>
      </c>
      <c r="G986" s="159">
        <v>22016</v>
      </c>
      <c r="H986" s="159">
        <v>33024</v>
      </c>
    </row>
    <row r="987" spans="1:8" hidden="1" x14ac:dyDescent="0.25">
      <c r="A987" s="158">
        <v>1256</v>
      </c>
      <c r="B987" s="156" t="s">
        <v>776</v>
      </c>
      <c r="C987" s="156" t="s">
        <v>359</v>
      </c>
      <c r="D987" s="156" t="s">
        <v>14</v>
      </c>
      <c r="E987" s="156" t="s">
        <v>16</v>
      </c>
      <c r="F987" s="159">
        <v>11228</v>
      </c>
      <c r="G987" s="159">
        <v>22456</v>
      </c>
      <c r="H987" s="159">
        <v>33684</v>
      </c>
    </row>
    <row r="988" spans="1:8" hidden="1" x14ac:dyDescent="0.25">
      <c r="A988" s="158">
        <v>1257</v>
      </c>
      <c r="B988" s="156" t="s">
        <v>776</v>
      </c>
      <c r="C988" s="156" t="s">
        <v>359</v>
      </c>
      <c r="D988" s="156" t="s">
        <v>14</v>
      </c>
      <c r="E988" s="156" t="s">
        <v>17</v>
      </c>
      <c r="F988" s="159">
        <v>11453</v>
      </c>
      <c r="G988" s="159">
        <v>22906</v>
      </c>
      <c r="H988" s="159">
        <v>34359</v>
      </c>
    </row>
    <row r="989" spans="1:8" hidden="1" x14ac:dyDescent="0.25">
      <c r="A989" s="158">
        <v>1258</v>
      </c>
      <c r="B989" s="156" t="s">
        <v>776</v>
      </c>
      <c r="C989" s="156" t="s">
        <v>359</v>
      </c>
      <c r="D989" s="156" t="s">
        <v>14</v>
      </c>
      <c r="E989" s="156" t="s">
        <v>18</v>
      </c>
      <c r="F989" s="159">
        <v>11682</v>
      </c>
      <c r="G989" s="159">
        <v>23364</v>
      </c>
      <c r="H989" s="159">
        <v>35046</v>
      </c>
    </row>
    <row r="990" spans="1:8" hidden="1" x14ac:dyDescent="0.25">
      <c r="A990" s="158">
        <v>1259</v>
      </c>
      <c r="B990" s="156" t="s">
        <v>776</v>
      </c>
      <c r="C990" s="156" t="s">
        <v>359</v>
      </c>
      <c r="D990" s="156" t="s">
        <v>14</v>
      </c>
      <c r="E990" s="156" t="s">
        <v>19</v>
      </c>
      <c r="F990" s="159">
        <v>11915</v>
      </c>
      <c r="G990" s="159">
        <v>23830</v>
      </c>
      <c r="H990" s="159">
        <v>35745</v>
      </c>
    </row>
    <row r="991" spans="1:8" hidden="1" x14ac:dyDescent="0.25">
      <c r="A991" s="158">
        <v>1260</v>
      </c>
      <c r="B991" s="156" t="s">
        <v>776</v>
      </c>
      <c r="C991" s="156" t="s">
        <v>359</v>
      </c>
      <c r="D991" s="156" t="s">
        <v>14</v>
      </c>
      <c r="E991" s="156" t="s">
        <v>20</v>
      </c>
      <c r="F991" s="159">
        <v>12154</v>
      </c>
      <c r="G991" s="159">
        <v>24308</v>
      </c>
      <c r="H991" s="159">
        <v>36462</v>
      </c>
    </row>
    <row r="992" spans="1:8" hidden="1" x14ac:dyDescent="0.25">
      <c r="A992" s="158">
        <v>1261</v>
      </c>
      <c r="B992" s="156" t="s">
        <v>776</v>
      </c>
      <c r="C992" s="156" t="s">
        <v>359</v>
      </c>
      <c r="D992" s="156" t="s">
        <v>21</v>
      </c>
      <c r="E992" s="156" t="s">
        <v>15</v>
      </c>
      <c r="F992" s="159">
        <v>12397</v>
      </c>
      <c r="G992" s="159">
        <v>24794</v>
      </c>
      <c r="H992" s="159">
        <v>37191</v>
      </c>
    </row>
    <row r="993" spans="1:8" hidden="1" x14ac:dyDescent="0.25">
      <c r="A993" s="158">
        <v>1262</v>
      </c>
      <c r="B993" s="156" t="s">
        <v>776</v>
      </c>
      <c r="C993" s="156" t="s">
        <v>359</v>
      </c>
      <c r="D993" s="156" t="s">
        <v>21</v>
      </c>
      <c r="E993" s="156" t="s">
        <v>16</v>
      </c>
      <c r="F993" s="159">
        <v>12645</v>
      </c>
      <c r="G993" s="159">
        <v>25290</v>
      </c>
      <c r="H993" s="159">
        <v>37935</v>
      </c>
    </row>
    <row r="994" spans="1:8" hidden="1" x14ac:dyDescent="0.25">
      <c r="A994" s="158">
        <v>1263</v>
      </c>
      <c r="B994" s="156" t="s">
        <v>776</v>
      </c>
      <c r="C994" s="156" t="s">
        <v>359</v>
      </c>
      <c r="D994" s="156" t="s">
        <v>21</v>
      </c>
      <c r="E994" s="156" t="s">
        <v>17</v>
      </c>
      <c r="F994" s="159">
        <v>12897</v>
      </c>
      <c r="G994" s="159">
        <v>25794</v>
      </c>
      <c r="H994" s="159">
        <v>38691</v>
      </c>
    </row>
    <row r="995" spans="1:8" hidden="1" x14ac:dyDescent="0.25">
      <c r="A995" s="158">
        <v>1264</v>
      </c>
      <c r="B995" s="156" t="s">
        <v>776</v>
      </c>
      <c r="C995" s="156" t="s">
        <v>359</v>
      </c>
      <c r="D995" s="156" t="s">
        <v>21</v>
      </c>
      <c r="E995" s="156" t="s">
        <v>18</v>
      </c>
      <c r="F995" s="159">
        <v>13156</v>
      </c>
      <c r="G995" s="159">
        <v>26312</v>
      </c>
      <c r="H995" s="159">
        <v>39468</v>
      </c>
    </row>
    <row r="996" spans="1:8" hidden="1" x14ac:dyDescent="0.25">
      <c r="A996" s="158">
        <v>1265</v>
      </c>
      <c r="B996" s="156" t="s">
        <v>776</v>
      </c>
      <c r="C996" s="156" t="s">
        <v>359</v>
      </c>
      <c r="D996" s="156" t="s">
        <v>21</v>
      </c>
      <c r="E996" s="156" t="s">
        <v>19</v>
      </c>
      <c r="F996" s="159">
        <v>13419</v>
      </c>
      <c r="G996" s="159">
        <v>26838</v>
      </c>
      <c r="H996" s="159">
        <v>40257</v>
      </c>
    </row>
    <row r="997" spans="1:8" hidden="1" x14ac:dyDescent="0.25">
      <c r="A997" s="158">
        <v>1266</v>
      </c>
      <c r="B997" s="156" t="s">
        <v>776</v>
      </c>
      <c r="C997" s="156" t="s">
        <v>359</v>
      </c>
      <c r="D997" s="156" t="s">
        <v>21</v>
      </c>
      <c r="E997" s="156" t="s">
        <v>20</v>
      </c>
      <c r="F997" s="159">
        <v>13687</v>
      </c>
      <c r="G997" s="159">
        <v>27374</v>
      </c>
      <c r="H997" s="159">
        <v>41061</v>
      </c>
    </row>
    <row r="998" spans="1:8" hidden="1" x14ac:dyDescent="0.25">
      <c r="A998" s="158">
        <v>1267</v>
      </c>
      <c r="B998" s="156" t="s">
        <v>776</v>
      </c>
      <c r="C998" s="156" t="s">
        <v>359</v>
      </c>
      <c r="D998" s="156" t="s">
        <v>203</v>
      </c>
      <c r="E998" s="156" t="s">
        <v>15</v>
      </c>
      <c r="F998" s="159">
        <v>13961</v>
      </c>
      <c r="G998" s="159">
        <v>27922</v>
      </c>
      <c r="H998" s="159">
        <v>41883</v>
      </c>
    </row>
    <row r="999" spans="1:8" hidden="1" x14ac:dyDescent="0.25">
      <c r="A999" s="158">
        <v>1268</v>
      </c>
      <c r="B999" s="156" t="s">
        <v>776</v>
      </c>
      <c r="C999" s="156" t="s">
        <v>359</v>
      </c>
      <c r="D999" s="156" t="s">
        <v>203</v>
      </c>
      <c r="E999" s="156" t="s">
        <v>16</v>
      </c>
      <c r="F999" s="159">
        <v>14240</v>
      </c>
      <c r="G999" s="159">
        <v>28480</v>
      </c>
      <c r="H999" s="159">
        <v>42720</v>
      </c>
    </row>
    <row r="1000" spans="1:8" hidden="1" x14ac:dyDescent="0.25">
      <c r="A1000" s="158">
        <v>1269</v>
      </c>
      <c r="B1000" s="156" t="s">
        <v>776</v>
      </c>
      <c r="C1000" s="156" t="s">
        <v>359</v>
      </c>
      <c r="D1000" s="156" t="s">
        <v>203</v>
      </c>
      <c r="E1000" s="156" t="s">
        <v>17</v>
      </c>
      <c r="F1000" s="159">
        <v>14525</v>
      </c>
      <c r="G1000" s="159">
        <v>29050</v>
      </c>
      <c r="H1000" s="159">
        <v>43575</v>
      </c>
    </row>
    <row r="1001" spans="1:8" hidden="1" x14ac:dyDescent="0.25">
      <c r="A1001" s="158">
        <v>1270</v>
      </c>
      <c r="B1001" s="156" t="s">
        <v>776</v>
      </c>
      <c r="C1001" s="156" t="s">
        <v>359</v>
      </c>
      <c r="D1001" s="156" t="s">
        <v>203</v>
      </c>
      <c r="E1001" s="156" t="s">
        <v>18</v>
      </c>
      <c r="F1001" s="159">
        <v>14815</v>
      </c>
      <c r="G1001" s="159">
        <v>29630</v>
      </c>
      <c r="H1001" s="159">
        <v>44445</v>
      </c>
    </row>
    <row r="1002" spans="1:8" hidden="1" x14ac:dyDescent="0.25">
      <c r="A1002" s="158">
        <v>1271</v>
      </c>
      <c r="B1002" s="156" t="s">
        <v>776</v>
      </c>
      <c r="C1002" s="156" t="s">
        <v>359</v>
      </c>
      <c r="D1002" s="156" t="s">
        <v>203</v>
      </c>
      <c r="E1002" s="156" t="s">
        <v>19</v>
      </c>
      <c r="F1002" s="159">
        <v>15111</v>
      </c>
      <c r="G1002" s="159">
        <v>30222</v>
      </c>
      <c r="H1002" s="159">
        <v>45333</v>
      </c>
    </row>
    <row r="1003" spans="1:8" hidden="1" x14ac:dyDescent="0.25">
      <c r="A1003" s="158">
        <v>1272</v>
      </c>
      <c r="B1003" s="156" t="s">
        <v>776</v>
      </c>
      <c r="C1003" s="156" t="s">
        <v>359</v>
      </c>
      <c r="D1003" s="156" t="s">
        <v>203</v>
      </c>
      <c r="E1003" s="156" t="s">
        <v>20</v>
      </c>
      <c r="F1003" s="159">
        <v>15413</v>
      </c>
      <c r="G1003" s="159">
        <v>30827</v>
      </c>
      <c r="H1003" s="159">
        <v>46240</v>
      </c>
    </row>
    <row r="1004" spans="1:8" hidden="1" x14ac:dyDescent="0.25">
      <c r="A1004" s="158">
        <v>1273</v>
      </c>
      <c r="B1004" s="156" t="s">
        <v>776</v>
      </c>
      <c r="C1004" s="156" t="s">
        <v>360</v>
      </c>
      <c r="D1004" s="156" t="s">
        <v>14</v>
      </c>
      <c r="E1004" s="156" t="s">
        <v>15</v>
      </c>
      <c r="F1004" s="159">
        <v>11008</v>
      </c>
      <c r="G1004" s="159">
        <v>22016</v>
      </c>
      <c r="H1004" s="159">
        <v>33024</v>
      </c>
    </row>
    <row r="1005" spans="1:8" hidden="1" x14ac:dyDescent="0.25">
      <c r="A1005" s="158">
        <v>1274</v>
      </c>
      <c r="B1005" s="156" t="s">
        <v>776</v>
      </c>
      <c r="C1005" s="156" t="s">
        <v>360</v>
      </c>
      <c r="D1005" s="156" t="s">
        <v>14</v>
      </c>
      <c r="E1005" s="156" t="s">
        <v>16</v>
      </c>
      <c r="F1005" s="159">
        <v>11228</v>
      </c>
      <c r="G1005" s="159">
        <v>22456</v>
      </c>
      <c r="H1005" s="159">
        <v>33684</v>
      </c>
    </row>
    <row r="1006" spans="1:8" hidden="1" x14ac:dyDescent="0.25">
      <c r="A1006" s="158">
        <v>1275</v>
      </c>
      <c r="B1006" s="156" t="s">
        <v>776</v>
      </c>
      <c r="C1006" s="156" t="s">
        <v>360</v>
      </c>
      <c r="D1006" s="156" t="s">
        <v>14</v>
      </c>
      <c r="E1006" s="156" t="s">
        <v>17</v>
      </c>
      <c r="F1006" s="159">
        <v>11453</v>
      </c>
      <c r="G1006" s="159">
        <v>22906</v>
      </c>
      <c r="H1006" s="159">
        <v>34359</v>
      </c>
    </row>
    <row r="1007" spans="1:8" hidden="1" x14ac:dyDescent="0.25">
      <c r="A1007" s="158">
        <v>1276</v>
      </c>
      <c r="B1007" s="156" t="s">
        <v>776</v>
      </c>
      <c r="C1007" s="156" t="s">
        <v>360</v>
      </c>
      <c r="D1007" s="156" t="s">
        <v>14</v>
      </c>
      <c r="E1007" s="156" t="s">
        <v>18</v>
      </c>
      <c r="F1007" s="159">
        <v>11682</v>
      </c>
      <c r="G1007" s="159">
        <v>23364</v>
      </c>
      <c r="H1007" s="159">
        <v>35046</v>
      </c>
    </row>
    <row r="1008" spans="1:8" hidden="1" x14ac:dyDescent="0.25">
      <c r="A1008" s="158">
        <v>1277</v>
      </c>
      <c r="B1008" s="156" t="s">
        <v>776</v>
      </c>
      <c r="C1008" s="156" t="s">
        <v>360</v>
      </c>
      <c r="D1008" s="156" t="s">
        <v>14</v>
      </c>
      <c r="E1008" s="156" t="s">
        <v>19</v>
      </c>
      <c r="F1008" s="159">
        <v>11915</v>
      </c>
      <c r="G1008" s="159">
        <v>23830</v>
      </c>
      <c r="H1008" s="159">
        <v>35745</v>
      </c>
    </row>
    <row r="1009" spans="1:8" hidden="1" x14ac:dyDescent="0.25">
      <c r="A1009" s="158">
        <v>1278</v>
      </c>
      <c r="B1009" s="156" t="s">
        <v>776</v>
      </c>
      <c r="C1009" s="156" t="s">
        <v>360</v>
      </c>
      <c r="D1009" s="156" t="s">
        <v>14</v>
      </c>
      <c r="E1009" s="156" t="s">
        <v>20</v>
      </c>
      <c r="F1009" s="159">
        <v>12154</v>
      </c>
      <c r="G1009" s="159">
        <v>24308</v>
      </c>
      <c r="H1009" s="159">
        <v>36462</v>
      </c>
    </row>
    <row r="1010" spans="1:8" hidden="1" x14ac:dyDescent="0.25">
      <c r="A1010" s="158">
        <v>1279</v>
      </c>
      <c r="B1010" s="156" t="s">
        <v>776</v>
      </c>
      <c r="C1010" s="156" t="s">
        <v>360</v>
      </c>
      <c r="D1010" s="156" t="s">
        <v>21</v>
      </c>
      <c r="E1010" s="156" t="s">
        <v>15</v>
      </c>
      <c r="F1010" s="159">
        <v>12397</v>
      </c>
      <c r="G1010" s="159">
        <v>24794</v>
      </c>
      <c r="H1010" s="159">
        <v>37191</v>
      </c>
    </row>
    <row r="1011" spans="1:8" hidden="1" x14ac:dyDescent="0.25">
      <c r="A1011" s="158">
        <v>1280</v>
      </c>
      <c r="B1011" s="156" t="s">
        <v>776</v>
      </c>
      <c r="C1011" s="156" t="s">
        <v>360</v>
      </c>
      <c r="D1011" s="156" t="s">
        <v>21</v>
      </c>
      <c r="E1011" s="156" t="s">
        <v>16</v>
      </c>
      <c r="F1011" s="159">
        <v>12645</v>
      </c>
      <c r="G1011" s="159">
        <v>25290</v>
      </c>
      <c r="H1011" s="159">
        <v>37935</v>
      </c>
    </row>
    <row r="1012" spans="1:8" hidden="1" x14ac:dyDescent="0.25">
      <c r="A1012" s="158">
        <v>1281</v>
      </c>
      <c r="B1012" s="156" t="s">
        <v>776</v>
      </c>
      <c r="C1012" s="156" t="s">
        <v>360</v>
      </c>
      <c r="D1012" s="156" t="s">
        <v>21</v>
      </c>
      <c r="E1012" s="156" t="s">
        <v>17</v>
      </c>
      <c r="F1012" s="159">
        <v>12897</v>
      </c>
      <c r="G1012" s="159">
        <v>25794</v>
      </c>
      <c r="H1012" s="159">
        <v>38691</v>
      </c>
    </row>
    <row r="1013" spans="1:8" hidden="1" x14ac:dyDescent="0.25">
      <c r="A1013" s="158">
        <v>1282</v>
      </c>
      <c r="B1013" s="156" t="s">
        <v>776</v>
      </c>
      <c r="C1013" s="156" t="s">
        <v>360</v>
      </c>
      <c r="D1013" s="156" t="s">
        <v>21</v>
      </c>
      <c r="E1013" s="156" t="s">
        <v>18</v>
      </c>
      <c r="F1013" s="159">
        <v>13156</v>
      </c>
      <c r="G1013" s="159">
        <v>26312</v>
      </c>
      <c r="H1013" s="159">
        <v>39468</v>
      </c>
    </row>
    <row r="1014" spans="1:8" hidden="1" x14ac:dyDescent="0.25">
      <c r="A1014" s="158">
        <v>1283</v>
      </c>
      <c r="B1014" s="156" t="s">
        <v>776</v>
      </c>
      <c r="C1014" s="156" t="s">
        <v>360</v>
      </c>
      <c r="D1014" s="156" t="s">
        <v>21</v>
      </c>
      <c r="E1014" s="156" t="s">
        <v>19</v>
      </c>
      <c r="F1014" s="159">
        <v>13419</v>
      </c>
      <c r="G1014" s="159">
        <v>26838</v>
      </c>
      <c r="H1014" s="159">
        <v>40257</v>
      </c>
    </row>
    <row r="1015" spans="1:8" hidden="1" x14ac:dyDescent="0.25">
      <c r="A1015" s="158">
        <v>1284</v>
      </c>
      <c r="B1015" s="156" t="s">
        <v>776</v>
      </c>
      <c r="C1015" s="156" t="s">
        <v>360</v>
      </c>
      <c r="D1015" s="156" t="s">
        <v>21</v>
      </c>
      <c r="E1015" s="156" t="s">
        <v>20</v>
      </c>
      <c r="F1015" s="159">
        <v>13687</v>
      </c>
      <c r="G1015" s="159">
        <v>27374</v>
      </c>
      <c r="H1015" s="159">
        <v>41061</v>
      </c>
    </row>
    <row r="1016" spans="1:8" hidden="1" x14ac:dyDescent="0.25">
      <c r="A1016" s="158">
        <v>1285</v>
      </c>
      <c r="B1016" s="156" t="s">
        <v>776</v>
      </c>
      <c r="C1016" s="156" t="s">
        <v>360</v>
      </c>
      <c r="D1016" s="156" t="s">
        <v>203</v>
      </c>
      <c r="E1016" s="156" t="s">
        <v>15</v>
      </c>
      <c r="F1016" s="159">
        <v>13961</v>
      </c>
      <c r="G1016" s="159">
        <v>27922</v>
      </c>
      <c r="H1016" s="159">
        <v>41883</v>
      </c>
    </row>
    <row r="1017" spans="1:8" hidden="1" x14ac:dyDescent="0.25">
      <c r="A1017" s="158">
        <v>1286</v>
      </c>
      <c r="B1017" s="156" t="s">
        <v>776</v>
      </c>
      <c r="C1017" s="156" t="s">
        <v>360</v>
      </c>
      <c r="D1017" s="156" t="s">
        <v>203</v>
      </c>
      <c r="E1017" s="156" t="s">
        <v>16</v>
      </c>
      <c r="F1017" s="159">
        <v>14240</v>
      </c>
      <c r="G1017" s="159">
        <v>28480</v>
      </c>
      <c r="H1017" s="159">
        <v>42720</v>
      </c>
    </row>
    <row r="1018" spans="1:8" hidden="1" x14ac:dyDescent="0.25">
      <c r="A1018" s="158">
        <v>1287</v>
      </c>
      <c r="B1018" s="156" t="s">
        <v>776</v>
      </c>
      <c r="C1018" s="156" t="s">
        <v>360</v>
      </c>
      <c r="D1018" s="156" t="s">
        <v>203</v>
      </c>
      <c r="E1018" s="156" t="s">
        <v>17</v>
      </c>
      <c r="F1018" s="159">
        <v>14525</v>
      </c>
      <c r="G1018" s="159">
        <v>29050</v>
      </c>
      <c r="H1018" s="159">
        <v>43575</v>
      </c>
    </row>
    <row r="1019" spans="1:8" hidden="1" x14ac:dyDescent="0.25">
      <c r="A1019" s="158">
        <v>1288</v>
      </c>
      <c r="B1019" s="156" t="s">
        <v>776</v>
      </c>
      <c r="C1019" s="156" t="s">
        <v>360</v>
      </c>
      <c r="D1019" s="156" t="s">
        <v>203</v>
      </c>
      <c r="E1019" s="156" t="s">
        <v>18</v>
      </c>
      <c r="F1019" s="159">
        <v>14815</v>
      </c>
      <c r="G1019" s="159">
        <v>29630</v>
      </c>
      <c r="H1019" s="159">
        <v>44445</v>
      </c>
    </row>
    <row r="1020" spans="1:8" hidden="1" x14ac:dyDescent="0.25">
      <c r="A1020" s="158">
        <v>1289</v>
      </c>
      <c r="B1020" s="156" t="s">
        <v>776</v>
      </c>
      <c r="C1020" s="156" t="s">
        <v>360</v>
      </c>
      <c r="D1020" s="156" t="s">
        <v>203</v>
      </c>
      <c r="E1020" s="156" t="s">
        <v>19</v>
      </c>
      <c r="F1020" s="159">
        <v>15111</v>
      </c>
      <c r="G1020" s="159">
        <v>30222</v>
      </c>
      <c r="H1020" s="159">
        <v>45333</v>
      </c>
    </row>
    <row r="1021" spans="1:8" hidden="1" x14ac:dyDescent="0.25">
      <c r="A1021" s="158">
        <v>1290</v>
      </c>
      <c r="B1021" s="156" t="s">
        <v>776</v>
      </c>
      <c r="C1021" s="156" t="s">
        <v>360</v>
      </c>
      <c r="D1021" s="156" t="s">
        <v>203</v>
      </c>
      <c r="E1021" s="156" t="s">
        <v>20</v>
      </c>
      <c r="F1021" s="159">
        <v>15413</v>
      </c>
      <c r="G1021" s="159">
        <v>30827</v>
      </c>
      <c r="H1021" s="159">
        <v>46240</v>
      </c>
    </row>
  </sheetData>
  <autoFilter ref="A2:H1021">
    <filterColumn colId="2">
      <filters>
        <filter val="AUXILIAR DE CONTROLE EXTERNO (3)"/>
      </filters>
    </filterColumn>
    <filterColumn colId="3">
      <filters>
        <filter val="ESPECIAL"/>
      </filters>
    </filterColumn>
  </autoFilter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06"/>
  <sheetViews>
    <sheetView workbookViewId="0">
      <selection activeCell="F430" sqref="F430"/>
    </sheetView>
  </sheetViews>
  <sheetFormatPr defaultRowHeight="15" x14ac:dyDescent="0.25"/>
  <cols>
    <col min="1" max="1" width="6" style="156" customWidth="1"/>
    <col min="2" max="2" width="32.42578125" style="156" customWidth="1"/>
    <col min="3" max="3" width="49.7109375" style="156" customWidth="1"/>
    <col min="4" max="4" width="10.85546875" style="156" customWidth="1"/>
    <col min="5" max="5" width="6.7109375" style="156" customWidth="1"/>
    <col min="6" max="6" width="25.7109375" style="156" customWidth="1"/>
    <col min="7" max="7" width="29.7109375" style="156" customWidth="1"/>
    <col min="8" max="16384" width="9.140625" style="156"/>
  </cols>
  <sheetData>
    <row r="1" spans="1:7" x14ac:dyDescent="0.25">
      <c r="A1" s="253" t="s">
        <v>139</v>
      </c>
      <c r="B1" s="254"/>
      <c r="C1" s="254"/>
      <c r="D1" s="254"/>
      <c r="E1" s="254"/>
      <c r="F1" s="254"/>
      <c r="G1" s="254"/>
    </row>
    <row r="2" spans="1:7" x14ac:dyDescent="0.25">
      <c r="A2" s="157" t="s">
        <v>140</v>
      </c>
      <c r="B2" s="157" t="s">
        <v>141</v>
      </c>
      <c r="C2" s="157" t="s">
        <v>142</v>
      </c>
      <c r="D2" s="157" t="s">
        <v>104</v>
      </c>
      <c r="E2" s="157" t="s">
        <v>143</v>
      </c>
      <c r="F2" s="157" t="s">
        <v>144</v>
      </c>
      <c r="G2" s="157" t="s">
        <v>129</v>
      </c>
    </row>
    <row r="3" spans="1:7" hidden="1" x14ac:dyDescent="0.25">
      <c r="A3" s="158">
        <v>58</v>
      </c>
      <c r="B3" s="156" t="s">
        <v>145</v>
      </c>
      <c r="C3" s="156" t="s">
        <v>146</v>
      </c>
      <c r="D3" s="156" t="s">
        <v>16</v>
      </c>
      <c r="E3" s="158">
        <v>1</v>
      </c>
      <c r="F3" s="156" t="s">
        <v>147</v>
      </c>
      <c r="G3" s="156" t="s">
        <v>148</v>
      </c>
    </row>
    <row r="4" spans="1:7" hidden="1" x14ac:dyDescent="0.25">
      <c r="A4" s="158">
        <v>3177</v>
      </c>
      <c r="B4" s="156" t="s">
        <v>149</v>
      </c>
      <c r="C4" s="156" t="s">
        <v>150</v>
      </c>
      <c r="D4" s="156" t="s">
        <v>151</v>
      </c>
      <c r="E4" s="158">
        <v>1</v>
      </c>
      <c r="F4" s="156" t="s">
        <v>789</v>
      </c>
      <c r="G4" s="156" t="s">
        <v>790</v>
      </c>
    </row>
    <row r="5" spans="1:7" hidden="1" x14ac:dyDescent="0.25">
      <c r="A5" s="158">
        <v>3178</v>
      </c>
      <c r="B5" s="156" t="s">
        <v>149</v>
      </c>
      <c r="C5" s="156" t="s">
        <v>150</v>
      </c>
      <c r="D5" s="156" t="s">
        <v>151</v>
      </c>
      <c r="E5" s="158">
        <v>2</v>
      </c>
      <c r="F5" s="156" t="s">
        <v>791</v>
      </c>
      <c r="G5" s="156" t="s">
        <v>792</v>
      </c>
    </row>
    <row r="6" spans="1:7" hidden="1" x14ac:dyDescent="0.25">
      <c r="A6" s="158">
        <v>3179</v>
      </c>
      <c r="B6" s="156" t="s">
        <v>149</v>
      </c>
      <c r="C6" s="156" t="s">
        <v>150</v>
      </c>
      <c r="D6" s="156" t="s">
        <v>151</v>
      </c>
      <c r="E6" s="158">
        <v>3</v>
      </c>
      <c r="F6" s="156" t="s">
        <v>793</v>
      </c>
      <c r="G6" s="156" t="s">
        <v>794</v>
      </c>
    </row>
    <row r="7" spans="1:7" hidden="1" x14ac:dyDescent="0.25">
      <c r="A7" s="158">
        <v>3180</v>
      </c>
      <c r="B7" s="156" t="s">
        <v>149</v>
      </c>
      <c r="C7" s="156" t="s">
        <v>150</v>
      </c>
      <c r="D7" s="156" t="s">
        <v>151</v>
      </c>
      <c r="E7" s="158">
        <v>4</v>
      </c>
      <c r="F7" s="156" t="s">
        <v>795</v>
      </c>
      <c r="G7" s="156" t="s">
        <v>796</v>
      </c>
    </row>
    <row r="8" spans="1:7" hidden="1" x14ac:dyDescent="0.25">
      <c r="A8" s="158">
        <v>3182</v>
      </c>
      <c r="B8" s="156" t="s">
        <v>149</v>
      </c>
      <c r="C8" s="156" t="s">
        <v>150</v>
      </c>
      <c r="D8" s="156" t="s">
        <v>151</v>
      </c>
      <c r="E8" s="158">
        <v>5</v>
      </c>
      <c r="F8" s="156" t="s">
        <v>797</v>
      </c>
      <c r="G8" s="162" t="s">
        <v>798</v>
      </c>
    </row>
    <row r="9" spans="1:7" hidden="1" x14ac:dyDescent="0.25">
      <c r="A9" s="158">
        <v>3183</v>
      </c>
      <c r="B9" s="156" t="s">
        <v>149</v>
      </c>
      <c r="C9" s="156" t="s">
        <v>150</v>
      </c>
      <c r="D9" s="156" t="s">
        <v>151</v>
      </c>
      <c r="E9" s="158">
        <v>6</v>
      </c>
      <c r="F9" s="156" t="s">
        <v>799</v>
      </c>
      <c r="G9" s="156" t="s">
        <v>800</v>
      </c>
    </row>
    <row r="10" spans="1:7" hidden="1" x14ac:dyDescent="0.25">
      <c r="A10" s="158">
        <v>3184</v>
      </c>
      <c r="B10" s="156" t="s">
        <v>149</v>
      </c>
      <c r="C10" s="156" t="s">
        <v>150</v>
      </c>
      <c r="D10" s="156" t="s">
        <v>151</v>
      </c>
      <c r="E10" s="158">
        <v>7</v>
      </c>
      <c r="F10" s="156" t="s">
        <v>801</v>
      </c>
      <c r="G10" s="156" t="s">
        <v>802</v>
      </c>
    </row>
    <row r="11" spans="1:7" hidden="1" x14ac:dyDescent="0.25">
      <c r="A11" s="158">
        <v>3185</v>
      </c>
      <c r="B11" s="156" t="s">
        <v>149</v>
      </c>
      <c r="C11" s="156" t="s">
        <v>150</v>
      </c>
      <c r="D11" s="156" t="s">
        <v>151</v>
      </c>
      <c r="E11" s="158">
        <v>8</v>
      </c>
      <c r="F11" s="156" t="s">
        <v>803</v>
      </c>
      <c r="G11" s="156" t="s">
        <v>804</v>
      </c>
    </row>
    <row r="12" spans="1:7" hidden="1" x14ac:dyDescent="0.25">
      <c r="A12" s="158">
        <v>3186</v>
      </c>
      <c r="B12" s="156" t="s">
        <v>149</v>
      </c>
      <c r="C12" s="156" t="s">
        <v>150</v>
      </c>
      <c r="D12" s="156" t="s">
        <v>151</v>
      </c>
      <c r="E12" s="158">
        <v>9</v>
      </c>
      <c r="F12" s="156" t="s">
        <v>805</v>
      </c>
      <c r="G12" s="162" t="s">
        <v>806</v>
      </c>
    </row>
    <row r="13" spans="1:7" hidden="1" x14ac:dyDescent="0.25">
      <c r="A13" s="158">
        <v>1759</v>
      </c>
      <c r="B13" s="156" t="s">
        <v>404</v>
      </c>
      <c r="C13" s="156" t="s">
        <v>176</v>
      </c>
      <c r="D13" s="156" t="s">
        <v>173</v>
      </c>
      <c r="E13" s="158">
        <v>1</v>
      </c>
      <c r="F13" s="156" t="s">
        <v>177</v>
      </c>
      <c r="G13" s="156" t="s">
        <v>148</v>
      </c>
    </row>
    <row r="14" spans="1:7" hidden="1" x14ac:dyDescent="0.25">
      <c r="A14" s="158">
        <v>1841</v>
      </c>
      <c r="B14" s="156" t="s">
        <v>168</v>
      </c>
      <c r="C14" s="156" t="s">
        <v>169</v>
      </c>
      <c r="D14" s="156" t="s">
        <v>131</v>
      </c>
      <c r="E14" s="158">
        <v>1</v>
      </c>
      <c r="F14" s="156" t="s">
        <v>148</v>
      </c>
      <c r="G14" s="156" t="s">
        <v>405</v>
      </c>
    </row>
    <row r="15" spans="1:7" hidden="1" x14ac:dyDescent="0.25">
      <c r="A15" s="158">
        <v>1913</v>
      </c>
      <c r="B15" s="156" t="s">
        <v>168</v>
      </c>
      <c r="C15" s="156" t="s">
        <v>169</v>
      </c>
      <c r="D15" s="156" t="s">
        <v>131</v>
      </c>
      <c r="E15" s="158">
        <v>2</v>
      </c>
      <c r="F15" s="156" t="s">
        <v>148</v>
      </c>
      <c r="G15" s="156" t="s">
        <v>406</v>
      </c>
    </row>
    <row r="16" spans="1:7" hidden="1" x14ac:dyDescent="0.25">
      <c r="A16" s="158">
        <v>2777</v>
      </c>
      <c r="B16" s="156" t="s">
        <v>168</v>
      </c>
      <c r="C16" s="156" t="s">
        <v>169</v>
      </c>
      <c r="D16" s="156" t="s">
        <v>131</v>
      </c>
      <c r="E16" s="158">
        <v>3</v>
      </c>
      <c r="F16" s="156" t="s">
        <v>148</v>
      </c>
      <c r="G16" s="156" t="s">
        <v>395</v>
      </c>
    </row>
    <row r="17" spans="1:7" hidden="1" x14ac:dyDescent="0.25">
      <c r="A17" s="158">
        <v>2438</v>
      </c>
      <c r="B17" s="156" t="s">
        <v>168</v>
      </c>
      <c r="C17" s="156" t="s">
        <v>130</v>
      </c>
      <c r="D17" s="156" t="s">
        <v>131</v>
      </c>
      <c r="E17" s="158">
        <v>20</v>
      </c>
      <c r="F17" s="156" t="s">
        <v>407</v>
      </c>
      <c r="G17" s="156" t="s">
        <v>408</v>
      </c>
    </row>
    <row r="18" spans="1:7" hidden="1" x14ac:dyDescent="0.25">
      <c r="A18" s="158">
        <v>2441</v>
      </c>
      <c r="B18" s="156" t="s">
        <v>168</v>
      </c>
      <c r="C18" s="156" t="s">
        <v>130</v>
      </c>
      <c r="D18" s="156" t="s">
        <v>131</v>
      </c>
      <c r="E18" s="158">
        <v>25</v>
      </c>
      <c r="F18" s="156" t="s">
        <v>407</v>
      </c>
      <c r="G18" s="156" t="s">
        <v>409</v>
      </c>
    </row>
    <row r="19" spans="1:7" hidden="1" x14ac:dyDescent="0.25">
      <c r="A19" s="158">
        <v>2432</v>
      </c>
      <c r="B19" s="156" t="s">
        <v>171</v>
      </c>
      <c r="C19" s="156" t="s">
        <v>172</v>
      </c>
      <c r="D19" s="156" t="s">
        <v>173</v>
      </c>
      <c r="E19" s="158">
        <v>1</v>
      </c>
      <c r="F19" s="156" t="s">
        <v>407</v>
      </c>
      <c r="G19" s="156" t="s">
        <v>148</v>
      </c>
    </row>
    <row r="20" spans="1:7" hidden="1" x14ac:dyDescent="0.25">
      <c r="A20" s="158">
        <v>2434</v>
      </c>
      <c r="B20" s="156" t="s">
        <v>171</v>
      </c>
      <c r="C20" s="156" t="s">
        <v>175</v>
      </c>
      <c r="D20" s="156" t="s">
        <v>173</v>
      </c>
      <c r="E20" s="158">
        <v>1</v>
      </c>
      <c r="F20" s="156" t="s">
        <v>407</v>
      </c>
      <c r="G20" s="156" t="s">
        <v>148</v>
      </c>
    </row>
    <row r="21" spans="1:7" hidden="1" x14ac:dyDescent="0.25">
      <c r="A21" s="158">
        <v>61</v>
      </c>
      <c r="B21" s="156" t="s">
        <v>171</v>
      </c>
      <c r="C21" s="156" t="s">
        <v>178</v>
      </c>
      <c r="D21" s="156" t="s">
        <v>173</v>
      </c>
      <c r="E21" s="158">
        <v>1</v>
      </c>
      <c r="F21" s="156" t="s">
        <v>179</v>
      </c>
      <c r="G21" s="156" t="s">
        <v>148</v>
      </c>
    </row>
    <row r="22" spans="1:7" hidden="1" x14ac:dyDescent="0.25">
      <c r="A22" s="158">
        <v>2436</v>
      </c>
      <c r="B22" s="156" t="s">
        <v>171</v>
      </c>
      <c r="C22" s="156" t="s">
        <v>180</v>
      </c>
      <c r="D22" s="156" t="s">
        <v>173</v>
      </c>
      <c r="E22" s="158">
        <v>1</v>
      </c>
      <c r="F22" s="156" t="s">
        <v>410</v>
      </c>
      <c r="G22" s="156" t="s">
        <v>148</v>
      </c>
    </row>
    <row r="23" spans="1:7" x14ac:dyDescent="0.25">
      <c r="A23" s="158">
        <v>3510</v>
      </c>
      <c r="B23" s="156" t="s">
        <v>181</v>
      </c>
      <c r="C23" s="156" t="s">
        <v>182</v>
      </c>
      <c r="D23" s="156" t="s">
        <v>22</v>
      </c>
      <c r="E23" s="156" t="s">
        <v>15</v>
      </c>
      <c r="F23" s="156" t="s">
        <v>807</v>
      </c>
      <c r="G23" s="156" t="s">
        <v>148</v>
      </c>
    </row>
    <row r="24" spans="1:7" x14ac:dyDescent="0.25">
      <c r="A24" s="158">
        <v>3520</v>
      </c>
      <c r="B24" s="156" t="s">
        <v>181</v>
      </c>
      <c r="C24" s="156" t="s">
        <v>182</v>
      </c>
      <c r="D24" s="156" t="s">
        <v>22</v>
      </c>
      <c r="E24" s="156" t="s">
        <v>16</v>
      </c>
      <c r="F24" s="156" t="s">
        <v>808</v>
      </c>
      <c r="G24" s="156" t="s">
        <v>148</v>
      </c>
    </row>
    <row r="25" spans="1:7" x14ac:dyDescent="0.25">
      <c r="A25" s="158">
        <v>3530</v>
      </c>
      <c r="B25" s="156" t="s">
        <v>181</v>
      </c>
      <c r="C25" s="156" t="s">
        <v>182</v>
      </c>
      <c r="D25" s="156" t="s">
        <v>22</v>
      </c>
      <c r="E25" s="156" t="s">
        <v>17</v>
      </c>
      <c r="F25" s="156" t="s">
        <v>809</v>
      </c>
      <c r="G25" s="156" t="s">
        <v>148</v>
      </c>
    </row>
    <row r="26" spans="1:7" x14ac:dyDescent="0.25">
      <c r="A26" s="158">
        <v>3540</v>
      </c>
      <c r="B26" s="156" t="s">
        <v>181</v>
      </c>
      <c r="C26" s="156" t="s">
        <v>182</v>
      </c>
      <c r="D26" s="156" t="s">
        <v>22</v>
      </c>
      <c r="E26" s="156" t="s">
        <v>18</v>
      </c>
      <c r="F26" s="156" t="s">
        <v>810</v>
      </c>
      <c r="G26" s="156" t="s">
        <v>148</v>
      </c>
    </row>
    <row r="27" spans="1:7" x14ac:dyDescent="0.25">
      <c r="A27" s="158">
        <v>3550</v>
      </c>
      <c r="B27" s="156" t="s">
        <v>181</v>
      </c>
      <c r="C27" s="156" t="s">
        <v>182</v>
      </c>
      <c r="D27" s="156" t="s">
        <v>22</v>
      </c>
      <c r="E27" s="156" t="s">
        <v>19</v>
      </c>
      <c r="F27" s="156" t="s">
        <v>811</v>
      </c>
      <c r="G27" s="156" t="s">
        <v>148</v>
      </c>
    </row>
    <row r="28" spans="1:7" x14ac:dyDescent="0.25">
      <c r="A28" s="158">
        <v>3560</v>
      </c>
      <c r="B28" s="156" t="s">
        <v>181</v>
      </c>
      <c r="C28" s="156" t="s">
        <v>182</v>
      </c>
      <c r="D28" s="156" t="s">
        <v>22</v>
      </c>
      <c r="E28" s="156" t="s">
        <v>20</v>
      </c>
      <c r="F28" s="156" t="s">
        <v>812</v>
      </c>
      <c r="G28" s="156" t="s">
        <v>148</v>
      </c>
    </row>
    <row r="29" spans="1:7" hidden="1" x14ac:dyDescent="0.25">
      <c r="A29" s="158">
        <v>3187</v>
      </c>
      <c r="B29" s="156" t="s">
        <v>181</v>
      </c>
      <c r="C29" s="156" t="s">
        <v>182</v>
      </c>
      <c r="D29" s="156" t="s">
        <v>14</v>
      </c>
      <c r="E29" s="156" t="s">
        <v>15</v>
      </c>
      <c r="F29" s="156" t="s">
        <v>813</v>
      </c>
      <c r="G29" s="156" t="s">
        <v>148</v>
      </c>
    </row>
    <row r="30" spans="1:7" hidden="1" x14ac:dyDescent="0.25">
      <c r="A30" s="158">
        <v>3230</v>
      </c>
      <c r="B30" s="156" t="s">
        <v>181</v>
      </c>
      <c r="C30" s="156" t="s">
        <v>182</v>
      </c>
      <c r="D30" s="156" t="s">
        <v>14</v>
      </c>
      <c r="E30" s="156" t="s">
        <v>16</v>
      </c>
      <c r="F30" s="156" t="s">
        <v>814</v>
      </c>
      <c r="G30" s="156" t="s">
        <v>148</v>
      </c>
    </row>
    <row r="31" spans="1:7" hidden="1" x14ac:dyDescent="0.25">
      <c r="A31" s="158">
        <v>3273</v>
      </c>
      <c r="B31" s="156" t="s">
        <v>181</v>
      </c>
      <c r="C31" s="156" t="s">
        <v>182</v>
      </c>
      <c r="D31" s="156" t="s">
        <v>14</v>
      </c>
      <c r="E31" s="156" t="s">
        <v>17</v>
      </c>
      <c r="F31" s="156" t="s">
        <v>815</v>
      </c>
      <c r="G31" s="156" t="s">
        <v>148</v>
      </c>
    </row>
    <row r="32" spans="1:7" hidden="1" x14ac:dyDescent="0.25">
      <c r="A32" s="158">
        <v>3316</v>
      </c>
      <c r="B32" s="156" t="s">
        <v>181</v>
      </c>
      <c r="C32" s="156" t="s">
        <v>182</v>
      </c>
      <c r="D32" s="156" t="s">
        <v>14</v>
      </c>
      <c r="E32" s="156" t="s">
        <v>18</v>
      </c>
      <c r="F32" s="156" t="s">
        <v>816</v>
      </c>
      <c r="G32" s="156" t="s">
        <v>148</v>
      </c>
    </row>
    <row r="33" spans="1:7" hidden="1" x14ac:dyDescent="0.25">
      <c r="A33" s="158">
        <v>3359</v>
      </c>
      <c r="B33" s="156" t="s">
        <v>181</v>
      </c>
      <c r="C33" s="156" t="s">
        <v>182</v>
      </c>
      <c r="D33" s="156" t="s">
        <v>14</v>
      </c>
      <c r="E33" s="156" t="s">
        <v>19</v>
      </c>
      <c r="F33" s="156" t="s">
        <v>817</v>
      </c>
      <c r="G33" s="156" t="s">
        <v>148</v>
      </c>
    </row>
    <row r="34" spans="1:7" hidden="1" x14ac:dyDescent="0.25">
      <c r="A34" s="158">
        <v>3401</v>
      </c>
      <c r="B34" s="156" t="s">
        <v>181</v>
      </c>
      <c r="C34" s="156" t="s">
        <v>182</v>
      </c>
      <c r="D34" s="156" t="s">
        <v>14</v>
      </c>
      <c r="E34" s="156" t="s">
        <v>20</v>
      </c>
      <c r="F34" s="156" t="s">
        <v>818</v>
      </c>
      <c r="G34" s="156" t="s">
        <v>148</v>
      </c>
    </row>
    <row r="35" spans="1:7" hidden="1" x14ac:dyDescent="0.25">
      <c r="A35" s="158">
        <v>3443</v>
      </c>
      <c r="B35" s="156" t="s">
        <v>181</v>
      </c>
      <c r="C35" s="156" t="s">
        <v>182</v>
      </c>
      <c r="D35" s="156" t="s">
        <v>14</v>
      </c>
      <c r="E35" s="156" t="s">
        <v>189</v>
      </c>
      <c r="F35" s="156" t="s">
        <v>819</v>
      </c>
      <c r="G35" s="156" t="s">
        <v>148</v>
      </c>
    </row>
    <row r="36" spans="1:7" hidden="1" x14ac:dyDescent="0.25">
      <c r="A36" s="158">
        <v>3465</v>
      </c>
      <c r="B36" s="156" t="s">
        <v>181</v>
      </c>
      <c r="C36" s="156" t="s">
        <v>182</v>
      </c>
      <c r="D36" s="156" t="s">
        <v>14</v>
      </c>
      <c r="E36" s="156" t="s">
        <v>191</v>
      </c>
      <c r="F36" s="156" t="s">
        <v>820</v>
      </c>
      <c r="G36" s="156" t="s">
        <v>148</v>
      </c>
    </row>
    <row r="37" spans="1:7" hidden="1" x14ac:dyDescent="0.25">
      <c r="A37" s="158">
        <v>3487</v>
      </c>
      <c r="B37" s="156" t="s">
        <v>181</v>
      </c>
      <c r="C37" s="156" t="s">
        <v>182</v>
      </c>
      <c r="D37" s="156" t="s">
        <v>14</v>
      </c>
      <c r="E37" s="156" t="s">
        <v>14</v>
      </c>
      <c r="F37" s="156" t="s">
        <v>821</v>
      </c>
      <c r="G37" s="156" t="s">
        <v>148</v>
      </c>
    </row>
    <row r="38" spans="1:7" hidden="1" x14ac:dyDescent="0.25">
      <c r="A38" s="158">
        <v>3198</v>
      </c>
      <c r="B38" s="156" t="s">
        <v>181</v>
      </c>
      <c r="C38" s="156" t="s">
        <v>182</v>
      </c>
      <c r="D38" s="156" t="s">
        <v>21</v>
      </c>
      <c r="E38" s="156" t="s">
        <v>15</v>
      </c>
      <c r="F38" s="156" t="s">
        <v>822</v>
      </c>
      <c r="G38" s="156" t="s">
        <v>148</v>
      </c>
    </row>
    <row r="39" spans="1:7" hidden="1" x14ac:dyDescent="0.25">
      <c r="A39" s="158">
        <v>3241</v>
      </c>
      <c r="B39" s="156" t="s">
        <v>181</v>
      </c>
      <c r="C39" s="156" t="s">
        <v>182</v>
      </c>
      <c r="D39" s="156" t="s">
        <v>21</v>
      </c>
      <c r="E39" s="156" t="s">
        <v>16</v>
      </c>
      <c r="F39" s="156" t="s">
        <v>823</v>
      </c>
      <c r="G39" s="156" t="s">
        <v>148</v>
      </c>
    </row>
    <row r="40" spans="1:7" hidden="1" x14ac:dyDescent="0.25">
      <c r="A40" s="158">
        <v>3284</v>
      </c>
      <c r="B40" s="156" t="s">
        <v>181</v>
      </c>
      <c r="C40" s="156" t="s">
        <v>182</v>
      </c>
      <c r="D40" s="156" t="s">
        <v>21</v>
      </c>
      <c r="E40" s="156" t="s">
        <v>17</v>
      </c>
      <c r="F40" s="156" t="s">
        <v>824</v>
      </c>
      <c r="G40" s="156" t="s">
        <v>148</v>
      </c>
    </row>
    <row r="41" spans="1:7" hidden="1" x14ac:dyDescent="0.25">
      <c r="A41" s="158">
        <v>3327</v>
      </c>
      <c r="B41" s="156" t="s">
        <v>181</v>
      </c>
      <c r="C41" s="156" t="s">
        <v>182</v>
      </c>
      <c r="D41" s="156" t="s">
        <v>21</v>
      </c>
      <c r="E41" s="156" t="s">
        <v>18</v>
      </c>
      <c r="F41" s="156" t="s">
        <v>825</v>
      </c>
      <c r="G41" s="156" t="s">
        <v>148</v>
      </c>
    </row>
    <row r="42" spans="1:7" hidden="1" x14ac:dyDescent="0.25">
      <c r="A42" s="158">
        <v>3370</v>
      </c>
      <c r="B42" s="156" t="s">
        <v>181</v>
      </c>
      <c r="C42" s="156" t="s">
        <v>182</v>
      </c>
      <c r="D42" s="156" t="s">
        <v>21</v>
      </c>
      <c r="E42" s="156" t="s">
        <v>19</v>
      </c>
      <c r="F42" s="156" t="s">
        <v>826</v>
      </c>
      <c r="G42" s="156" t="s">
        <v>148</v>
      </c>
    </row>
    <row r="43" spans="1:7" hidden="1" x14ac:dyDescent="0.25">
      <c r="A43" s="158">
        <v>3412</v>
      </c>
      <c r="B43" s="156" t="s">
        <v>181</v>
      </c>
      <c r="C43" s="156" t="s">
        <v>182</v>
      </c>
      <c r="D43" s="156" t="s">
        <v>21</v>
      </c>
      <c r="E43" s="156" t="s">
        <v>20</v>
      </c>
      <c r="F43" s="156" t="s">
        <v>827</v>
      </c>
      <c r="G43" s="156" t="s">
        <v>148</v>
      </c>
    </row>
    <row r="44" spans="1:7" hidden="1" x14ac:dyDescent="0.25">
      <c r="A44" s="158">
        <v>3454</v>
      </c>
      <c r="B44" s="156" t="s">
        <v>181</v>
      </c>
      <c r="C44" s="156" t="s">
        <v>182</v>
      </c>
      <c r="D44" s="156" t="s">
        <v>21</v>
      </c>
      <c r="E44" s="156" t="s">
        <v>189</v>
      </c>
      <c r="F44" s="156" t="s">
        <v>828</v>
      </c>
      <c r="G44" s="156" t="s">
        <v>148</v>
      </c>
    </row>
    <row r="45" spans="1:7" hidden="1" x14ac:dyDescent="0.25">
      <c r="A45" s="158">
        <v>3476</v>
      </c>
      <c r="B45" s="156" t="s">
        <v>181</v>
      </c>
      <c r="C45" s="156" t="s">
        <v>182</v>
      </c>
      <c r="D45" s="156" t="s">
        <v>21</v>
      </c>
      <c r="E45" s="156" t="s">
        <v>191</v>
      </c>
      <c r="F45" s="156" t="s">
        <v>829</v>
      </c>
      <c r="G45" s="156" t="s">
        <v>148</v>
      </c>
    </row>
    <row r="46" spans="1:7" hidden="1" x14ac:dyDescent="0.25">
      <c r="A46" s="158">
        <v>3498</v>
      </c>
      <c r="B46" s="156" t="s">
        <v>181</v>
      </c>
      <c r="C46" s="156" t="s">
        <v>182</v>
      </c>
      <c r="D46" s="156" t="s">
        <v>21</v>
      </c>
      <c r="E46" s="156" t="s">
        <v>14</v>
      </c>
      <c r="F46" s="156" t="s">
        <v>830</v>
      </c>
      <c r="G46" s="156" t="s">
        <v>148</v>
      </c>
    </row>
    <row r="47" spans="1:7" hidden="1" x14ac:dyDescent="0.25">
      <c r="A47" s="158">
        <v>3209</v>
      </c>
      <c r="B47" s="156" t="s">
        <v>181</v>
      </c>
      <c r="C47" s="156" t="s">
        <v>182</v>
      </c>
      <c r="D47" s="156" t="s">
        <v>203</v>
      </c>
      <c r="E47" s="156" t="s">
        <v>15</v>
      </c>
      <c r="F47" s="156" t="s">
        <v>807</v>
      </c>
      <c r="G47" s="156" t="s">
        <v>148</v>
      </c>
    </row>
    <row r="48" spans="1:7" hidden="1" x14ac:dyDescent="0.25">
      <c r="A48" s="158">
        <v>3223</v>
      </c>
      <c r="B48" s="156" t="s">
        <v>181</v>
      </c>
      <c r="C48" s="156" t="s">
        <v>182</v>
      </c>
      <c r="D48" s="156" t="s">
        <v>203</v>
      </c>
      <c r="E48" s="156" t="s">
        <v>205</v>
      </c>
      <c r="F48" s="156" t="s">
        <v>831</v>
      </c>
      <c r="G48" s="156" t="s">
        <v>148</v>
      </c>
    </row>
    <row r="49" spans="1:7" hidden="1" x14ac:dyDescent="0.25">
      <c r="A49" s="158">
        <v>3225</v>
      </c>
      <c r="B49" s="156" t="s">
        <v>181</v>
      </c>
      <c r="C49" s="156" t="s">
        <v>182</v>
      </c>
      <c r="D49" s="156" t="s">
        <v>203</v>
      </c>
      <c r="E49" s="156" t="s">
        <v>207</v>
      </c>
      <c r="F49" s="156" t="s">
        <v>832</v>
      </c>
      <c r="G49" s="156" t="s">
        <v>148</v>
      </c>
    </row>
    <row r="50" spans="1:7" hidden="1" x14ac:dyDescent="0.25">
      <c r="A50" s="158">
        <v>3252</v>
      </c>
      <c r="B50" s="156" t="s">
        <v>181</v>
      </c>
      <c r="C50" s="156" t="s">
        <v>182</v>
      </c>
      <c r="D50" s="156" t="s">
        <v>203</v>
      </c>
      <c r="E50" s="156" t="s">
        <v>16</v>
      </c>
      <c r="F50" s="156" t="s">
        <v>808</v>
      </c>
      <c r="G50" s="156" t="s">
        <v>148</v>
      </c>
    </row>
    <row r="51" spans="1:7" hidden="1" x14ac:dyDescent="0.25">
      <c r="A51" s="158">
        <v>3266</v>
      </c>
      <c r="B51" s="156" t="s">
        <v>181</v>
      </c>
      <c r="C51" s="156" t="s">
        <v>182</v>
      </c>
      <c r="D51" s="156" t="s">
        <v>203</v>
      </c>
      <c r="E51" s="156" t="s">
        <v>210</v>
      </c>
      <c r="F51" s="156" t="s">
        <v>833</v>
      </c>
      <c r="G51" s="156" t="s">
        <v>148</v>
      </c>
    </row>
    <row r="52" spans="1:7" hidden="1" x14ac:dyDescent="0.25">
      <c r="A52" s="158">
        <v>3268</v>
      </c>
      <c r="B52" s="156" t="s">
        <v>181</v>
      </c>
      <c r="C52" s="156" t="s">
        <v>182</v>
      </c>
      <c r="D52" s="156" t="s">
        <v>203</v>
      </c>
      <c r="E52" s="156" t="s">
        <v>212</v>
      </c>
      <c r="F52" s="156" t="s">
        <v>834</v>
      </c>
      <c r="G52" s="156" t="s">
        <v>148</v>
      </c>
    </row>
    <row r="53" spans="1:7" hidden="1" x14ac:dyDescent="0.25">
      <c r="A53" s="158">
        <v>3295</v>
      </c>
      <c r="B53" s="156" t="s">
        <v>181</v>
      </c>
      <c r="C53" s="156" t="s">
        <v>182</v>
      </c>
      <c r="D53" s="156" t="s">
        <v>203</v>
      </c>
      <c r="E53" s="156" t="s">
        <v>17</v>
      </c>
      <c r="F53" s="156" t="s">
        <v>809</v>
      </c>
      <c r="G53" s="156" t="s">
        <v>148</v>
      </c>
    </row>
    <row r="54" spans="1:7" hidden="1" x14ac:dyDescent="0.25">
      <c r="A54" s="158">
        <v>3309</v>
      </c>
      <c r="B54" s="156" t="s">
        <v>181</v>
      </c>
      <c r="C54" s="156" t="s">
        <v>182</v>
      </c>
      <c r="D54" s="156" t="s">
        <v>203</v>
      </c>
      <c r="E54" s="156" t="s">
        <v>215</v>
      </c>
      <c r="F54" s="156" t="s">
        <v>835</v>
      </c>
      <c r="G54" s="156" t="s">
        <v>148</v>
      </c>
    </row>
    <row r="55" spans="1:7" hidden="1" x14ac:dyDescent="0.25">
      <c r="A55" s="158">
        <v>3311</v>
      </c>
      <c r="B55" s="156" t="s">
        <v>181</v>
      </c>
      <c r="C55" s="156" t="s">
        <v>182</v>
      </c>
      <c r="D55" s="156" t="s">
        <v>203</v>
      </c>
      <c r="E55" s="156" t="s">
        <v>217</v>
      </c>
      <c r="F55" s="156" t="s">
        <v>836</v>
      </c>
      <c r="G55" s="156" t="s">
        <v>148</v>
      </c>
    </row>
    <row r="56" spans="1:7" hidden="1" x14ac:dyDescent="0.25">
      <c r="A56" s="158">
        <v>3338</v>
      </c>
      <c r="B56" s="156" t="s">
        <v>181</v>
      </c>
      <c r="C56" s="156" t="s">
        <v>182</v>
      </c>
      <c r="D56" s="156" t="s">
        <v>203</v>
      </c>
      <c r="E56" s="156" t="s">
        <v>18</v>
      </c>
      <c r="F56" s="156" t="s">
        <v>810</v>
      </c>
      <c r="G56" s="156" t="s">
        <v>148</v>
      </c>
    </row>
    <row r="57" spans="1:7" hidden="1" x14ac:dyDescent="0.25">
      <c r="A57" s="158">
        <v>3352</v>
      </c>
      <c r="B57" s="156" t="s">
        <v>181</v>
      </c>
      <c r="C57" s="156" t="s">
        <v>182</v>
      </c>
      <c r="D57" s="156" t="s">
        <v>203</v>
      </c>
      <c r="E57" s="156" t="s">
        <v>220</v>
      </c>
      <c r="F57" s="156" t="s">
        <v>837</v>
      </c>
      <c r="G57" s="156" t="s">
        <v>148</v>
      </c>
    </row>
    <row r="58" spans="1:7" hidden="1" x14ac:dyDescent="0.25">
      <c r="A58" s="158">
        <v>3354</v>
      </c>
      <c r="B58" s="156" t="s">
        <v>181</v>
      </c>
      <c r="C58" s="156" t="s">
        <v>182</v>
      </c>
      <c r="D58" s="156" t="s">
        <v>203</v>
      </c>
      <c r="E58" s="156" t="s">
        <v>222</v>
      </c>
      <c r="F58" s="156" t="s">
        <v>838</v>
      </c>
      <c r="G58" s="156" t="s">
        <v>148</v>
      </c>
    </row>
    <row r="59" spans="1:7" hidden="1" x14ac:dyDescent="0.25">
      <c r="A59" s="158">
        <v>3381</v>
      </c>
      <c r="B59" s="156" t="s">
        <v>181</v>
      </c>
      <c r="C59" s="156" t="s">
        <v>182</v>
      </c>
      <c r="D59" s="156" t="s">
        <v>203</v>
      </c>
      <c r="E59" s="156" t="s">
        <v>19</v>
      </c>
      <c r="F59" s="156" t="s">
        <v>811</v>
      </c>
      <c r="G59" s="156" t="s">
        <v>148</v>
      </c>
    </row>
    <row r="60" spans="1:7" hidden="1" x14ac:dyDescent="0.25">
      <c r="A60" s="158">
        <v>3394</v>
      </c>
      <c r="B60" s="156" t="s">
        <v>181</v>
      </c>
      <c r="C60" s="156" t="s">
        <v>182</v>
      </c>
      <c r="D60" s="156" t="s">
        <v>203</v>
      </c>
      <c r="E60" s="156" t="s">
        <v>225</v>
      </c>
      <c r="F60" s="156" t="s">
        <v>839</v>
      </c>
      <c r="G60" s="156" t="s">
        <v>148</v>
      </c>
    </row>
    <row r="61" spans="1:7" hidden="1" x14ac:dyDescent="0.25">
      <c r="A61" s="158">
        <v>3396</v>
      </c>
      <c r="B61" s="156" t="s">
        <v>181</v>
      </c>
      <c r="C61" s="156" t="s">
        <v>182</v>
      </c>
      <c r="D61" s="156" t="s">
        <v>203</v>
      </c>
      <c r="E61" s="156" t="s">
        <v>227</v>
      </c>
      <c r="F61" s="156" t="s">
        <v>840</v>
      </c>
      <c r="G61" s="156" t="s">
        <v>148</v>
      </c>
    </row>
    <row r="62" spans="1:7" hidden="1" x14ac:dyDescent="0.25">
      <c r="A62" s="158">
        <v>3423</v>
      </c>
      <c r="B62" s="156" t="s">
        <v>181</v>
      </c>
      <c r="C62" s="156" t="s">
        <v>182</v>
      </c>
      <c r="D62" s="156" t="s">
        <v>203</v>
      </c>
      <c r="E62" s="156" t="s">
        <v>20</v>
      </c>
      <c r="F62" s="156" t="s">
        <v>812</v>
      </c>
      <c r="G62" s="156" t="s">
        <v>148</v>
      </c>
    </row>
    <row r="63" spans="1:7" hidden="1" x14ac:dyDescent="0.25">
      <c r="A63" s="158">
        <v>3436</v>
      </c>
      <c r="B63" s="156" t="s">
        <v>181</v>
      </c>
      <c r="C63" s="156" t="s">
        <v>182</v>
      </c>
      <c r="D63" s="156" t="s">
        <v>203</v>
      </c>
      <c r="E63" s="156" t="s">
        <v>230</v>
      </c>
      <c r="F63" s="156" t="s">
        <v>841</v>
      </c>
      <c r="G63" s="156" t="s">
        <v>148</v>
      </c>
    </row>
    <row r="64" spans="1:7" hidden="1" x14ac:dyDescent="0.25">
      <c r="A64" s="158">
        <v>3438</v>
      </c>
      <c r="B64" s="156" t="s">
        <v>181</v>
      </c>
      <c r="C64" s="156" t="s">
        <v>182</v>
      </c>
      <c r="D64" s="156" t="s">
        <v>203</v>
      </c>
      <c r="E64" s="156" t="s">
        <v>232</v>
      </c>
      <c r="F64" s="156" t="s">
        <v>842</v>
      </c>
      <c r="G64" s="156" t="s">
        <v>148</v>
      </c>
    </row>
    <row r="65" spans="1:7" hidden="1" x14ac:dyDescent="0.25">
      <c r="A65" s="158">
        <v>3511</v>
      </c>
      <c r="B65" s="156" t="s">
        <v>181</v>
      </c>
      <c r="C65" s="156" t="s">
        <v>234</v>
      </c>
      <c r="D65" s="156" t="s">
        <v>22</v>
      </c>
      <c r="E65" s="156" t="s">
        <v>15</v>
      </c>
      <c r="F65" s="156" t="s">
        <v>843</v>
      </c>
      <c r="G65" s="156" t="s">
        <v>148</v>
      </c>
    </row>
    <row r="66" spans="1:7" hidden="1" x14ac:dyDescent="0.25">
      <c r="A66" s="158">
        <v>3521</v>
      </c>
      <c r="B66" s="156" t="s">
        <v>181</v>
      </c>
      <c r="C66" s="156" t="s">
        <v>234</v>
      </c>
      <c r="D66" s="156" t="s">
        <v>22</v>
      </c>
      <c r="E66" s="156" t="s">
        <v>16</v>
      </c>
      <c r="F66" s="156" t="s">
        <v>844</v>
      </c>
      <c r="G66" s="156" t="s">
        <v>148</v>
      </c>
    </row>
    <row r="67" spans="1:7" hidden="1" x14ac:dyDescent="0.25">
      <c r="A67" s="158">
        <v>3531</v>
      </c>
      <c r="B67" s="156" t="s">
        <v>181</v>
      </c>
      <c r="C67" s="156" t="s">
        <v>234</v>
      </c>
      <c r="D67" s="156" t="s">
        <v>22</v>
      </c>
      <c r="E67" s="156" t="s">
        <v>17</v>
      </c>
      <c r="F67" s="156" t="s">
        <v>845</v>
      </c>
      <c r="G67" s="156" t="s">
        <v>148</v>
      </c>
    </row>
    <row r="68" spans="1:7" hidden="1" x14ac:dyDescent="0.25">
      <c r="A68" s="158">
        <v>3541</v>
      </c>
      <c r="B68" s="156" t="s">
        <v>181</v>
      </c>
      <c r="C68" s="156" t="s">
        <v>234</v>
      </c>
      <c r="D68" s="156" t="s">
        <v>22</v>
      </c>
      <c r="E68" s="156" t="s">
        <v>18</v>
      </c>
      <c r="F68" s="156" t="s">
        <v>846</v>
      </c>
      <c r="G68" s="156" t="s">
        <v>148</v>
      </c>
    </row>
    <row r="69" spans="1:7" hidden="1" x14ac:dyDescent="0.25">
      <c r="A69" s="158">
        <v>3551</v>
      </c>
      <c r="B69" s="156" t="s">
        <v>181</v>
      </c>
      <c r="C69" s="156" t="s">
        <v>234</v>
      </c>
      <c r="D69" s="156" t="s">
        <v>22</v>
      </c>
      <c r="E69" s="156" t="s">
        <v>19</v>
      </c>
      <c r="F69" s="156" t="s">
        <v>847</v>
      </c>
      <c r="G69" s="156" t="s">
        <v>148</v>
      </c>
    </row>
    <row r="70" spans="1:7" hidden="1" x14ac:dyDescent="0.25">
      <c r="A70" s="158">
        <v>3561</v>
      </c>
      <c r="B70" s="156" t="s">
        <v>181</v>
      </c>
      <c r="C70" s="156" t="s">
        <v>234</v>
      </c>
      <c r="D70" s="156" t="s">
        <v>22</v>
      </c>
      <c r="E70" s="156" t="s">
        <v>20</v>
      </c>
      <c r="F70" s="156" t="s">
        <v>848</v>
      </c>
      <c r="G70" s="156" t="s">
        <v>148</v>
      </c>
    </row>
    <row r="71" spans="1:7" hidden="1" x14ac:dyDescent="0.25">
      <c r="A71" s="158">
        <v>3188</v>
      </c>
      <c r="B71" s="156" t="s">
        <v>181</v>
      </c>
      <c r="C71" s="156" t="s">
        <v>234</v>
      </c>
      <c r="D71" s="156" t="s">
        <v>14</v>
      </c>
      <c r="E71" s="156" t="s">
        <v>15</v>
      </c>
      <c r="F71" s="156" t="s">
        <v>849</v>
      </c>
      <c r="G71" s="156" t="s">
        <v>148</v>
      </c>
    </row>
    <row r="72" spans="1:7" hidden="1" x14ac:dyDescent="0.25">
      <c r="A72" s="158">
        <v>3231</v>
      </c>
      <c r="B72" s="156" t="s">
        <v>181</v>
      </c>
      <c r="C72" s="156" t="s">
        <v>234</v>
      </c>
      <c r="D72" s="156" t="s">
        <v>14</v>
      </c>
      <c r="E72" s="156" t="s">
        <v>16</v>
      </c>
      <c r="F72" s="156" t="s">
        <v>850</v>
      </c>
      <c r="G72" s="156" t="s">
        <v>148</v>
      </c>
    </row>
    <row r="73" spans="1:7" hidden="1" x14ac:dyDescent="0.25">
      <c r="A73" s="158">
        <v>3274</v>
      </c>
      <c r="B73" s="156" t="s">
        <v>181</v>
      </c>
      <c r="C73" s="156" t="s">
        <v>234</v>
      </c>
      <c r="D73" s="156" t="s">
        <v>14</v>
      </c>
      <c r="E73" s="156" t="s">
        <v>17</v>
      </c>
      <c r="F73" s="156" t="s">
        <v>851</v>
      </c>
      <c r="G73" s="156" t="s">
        <v>148</v>
      </c>
    </row>
    <row r="74" spans="1:7" hidden="1" x14ac:dyDescent="0.25">
      <c r="A74" s="158">
        <v>3317</v>
      </c>
      <c r="B74" s="156" t="s">
        <v>181</v>
      </c>
      <c r="C74" s="156" t="s">
        <v>234</v>
      </c>
      <c r="D74" s="156" t="s">
        <v>14</v>
      </c>
      <c r="E74" s="156" t="s">
        <v>18</v>
      </c>
      <c r="F74" s="156" t="s">
        <v>852</v>
      </c>
      <c r="G74" s="156" t="s">
        <v>148</v>
      </c>
    </row>
    <row r="75" spans="1:7" hidden="1" x14ac:dyDescent="0.25">
      <c r="A75" s="158">
        <v>3360</v>
      </c>
      <c r="B75" s="156" t="s">
        <v>181</v>
      </c>
      <c r="C75" s="156" t="s">
        <v>234</v>
      </c>
      <c r="D75" s="156" t="s">
        <v>14</v>
      </c>
      <c r="E75" s="156" t="s">
        <v>19</v>
      </c>
      <c r="F75" s="156" t="s">
        <v>853</v>
      </c>
      <c r="G75" s="156" t="s">
        <v>148</v>
      </c>
    </row>
    <row r="76" spans="1:7" hidden="1" x14ac:dyDescent="0.25">
      <c r="A76" s="158">
        <v>3402</v>
      </c>
      <c r="B76" s="156" t="s">
        <v>181</v>
      </c>
      <c r="C76" s="156" t="s">
        <v>234</v>
      </c>
      <c r="D76" s="156" t="s">
        <v>14</v>
      </c>
      <c r="E76" s="156" t="s">
        <v>20</v>
      </c>
      <c r="F76" s="156" t="s">
        <v>854</v>
      </c>
      <c r="G76" s="156" t="s">
        <v>148</v>
      </c>
    </row>
    <row r="77" spans="1:7" hidden="1" x14ac:dyDescent="0.25">
      <c r="A77" s="158">
        <v>3444</v>
      </c>
      <c r="B77" s="156" t="s">
        <v>181</v>
      </c>
      <c r="C77" s="156" t="s">
        <v>234</v>
      </c>
      <c r="D77" s="156" t="s">
        <v>14</v>
      </c>
      <c r="E77" s="156" t="s">
        <v>189</v>
      </c>
      <c r="F77" s="156" t="s">
        <v>819</v>
      </c>
      <c r="G77" s="156" t="s">
        <v>148</v>
      </c>
    </row>
    <row r="78" spans="1:7" hidden="1" x14ac:dyDescent="0.25">
      <c r="A78" s="158">
        <v>3466</v>
      </c>
      <c r="B78" s="156" t="s">
        <v>181</v>
      </c>
      <c r="C78" s="156" t="s">
        <v>234</v>
      </c>
      <c r="D78" s="156" t="s">
        <v>14</v>
      </c>
      <c r="E78" s="156" t="s">
        <v>191</v>
      </c>
      <c r="F78" s="156" t="s">
        <v>820</v>
      </c>
      <c r="G78" s="156" t="s">
        <v>148</v>
      </c>
    </row>
    <row r="79" spans="1:7" hidden="1" x14ac:dyDescent="0.25">
      <c r="A79" s="158">
        <v>3488</v>
      </c>
      <c r="B79" s="156" t="s">
        <v>181</v>
      </c>
      <c r="C79" s="156" t="s">
        <v>234</v>
      </c>
      <c r="D79" s="156" t="s">
        <v>14</v>
      </c>
      <c r="E79" s="156" t="s">
        <v>14</v>
      </c>
      <c r="F79" s="156" t="s">
        <v>855</v>
      </c>
      <c r="G79" s="156" t="s">
        <v>148</v>
      </c>
    </row>
    <row r="80" spans="1:7" hidden="1" x14ac:dyDescent="0.25">
      <c r="A80" s="158">
        <v>3199</v>
      </c>
      <c r="B80" s="156" t="s">
        <v>181</v>
      </c>
      <c r="C80" s="156" t="s">
        <v>234</v>
      </c>
      <c r="D80" s="156" t="s">
        <v>21</v>
      </c>
      <c r="E80" s="156" t="s">
        <v>15</v>
      </c>
      <c r="F80" s="156" t="s">
        <v>856</v>
      </c>
      <c r="G80" s="156" t="s">
        <v>148</v>
      </c>
    </row>
    <row r="81" spans="1:7" hidden="1" x14ac:dyDescent="0.25">
      <c r="A81" s="158">
        <v>3242</v>
      </c>
      <c r="B81" s="156" t="s">
        <v>181</v>
      </c>
      <c r="C81" s="156" t="s">
        <v>234</v>
      </c>
      <c r="D81" s="156" t="s">
        <v>21</v>
      </c>
      <c r="E81" s="156" t="s">
        <v>16</v>
      </c>
      <c r="F81" s="156" t="s">
        <v>857</v>
      </c>
      <c r="G81" s="156" t="s">
        <v>148</v>
      </c>
    </row>
    <row r="82" spans="1:7" hidden="1" x14ac:dyDescent="0.25">
      <c r="A82" s="158">
        <v>3285</v>
      </c>
      <c r="B82" s="156" t="s">
        <v>181</v>
      </c>
      <c r="C82" s="156" t="s">
        <v>234</v>
      </c>
      <c r="D82" s="156" t="s">
        <v>21</v>
      </c>
      <c r="E82" s="156" t="s">
        <v>17</v>
      </c>
      <c r="F82" s="156" t="s">
        <v>858</v>
      </c>
      <c r="G82" s="156" t="s">
        <v>148</v>
      </c>
    </row>
    <row r="83" spans="1:7" hidden="1" x14ac:dyDescent="0.25">
      <c r="A83" s="158">
        <v>3328</v>
      </c>
      <c r="B83" s="156" t="s">
        <v>181</v>
      </c>
      <c r="C83" s="156" t="s">
        <v>234</v>
      </c>
      <c r="D83" s="156" t="s">
        <v>21</v>
      </c>
      <c r="E83" s="156" t="s">
        <v>18</v>
      </c>
      <c r="F83" s="156" t="s">
        <v>859</v>
      </c>
      <c r="G83" s="156" t="s">
        <v>148</v>
      </c>
    </row>
    <row r="84" spans="1:7" hidden="1" x14ac:dyDescent="0.25">
      <c r="A84" s="158">
        <v>3371</v>
      </c>
      <c r="B84" s="156" t="s">
        <v>181</v>
      </c>
      <c r="C84" s="156" t="s">
        <v>234</v>
      </c>
      <c r="D84" s="156" t="s">
        <v>21</v>
      </c>
      <c r="E84" s="156" t="s">
        <v>19</v>
      </c>
      <c r="F84" s="156" t="s">
        <v>860</v>
      </c>
      <c r="G84" s="156" t="s">
        <v>148</v>
      </c>
    </row>
    <row r="85" spans="1:7" hidden="1" x14ac:dyDescent="0.25">
      <c r="A85" s="158">
        <v>3413</v>
      </c>
      <c r="B85" s="156" t="s">
        <v>181</v>
      </c>
      <c r="C85" s="156" t="s">
        <v>234</v>
      </c>
      <c r="D85" s="156" t="s">
        <v>21</v>
      </c>
      <c r="E85" s="156" t="s">
        <v>20</v>
      </c>
      <c r="F85" s="156" t="s">
        <v>861</v>
      </c>
      <c r="G85" s="156" t="s">
        <v>148</v>
      </c>
    </row>
    <row r="86" spans="1:7" hidden="1" x14ac:dyDescent="0.25">
      <c r="A86" s="158">
        <v>3455</v>
      </c>
      <c r="B86" s="156" t="s">
        <v>181</v>
      </c>
      <c r="C86" s="156" t="s">
        <v>234</v>
      </c>
      <c r="D86" s="156" t="s">
        <v>21</v>
      </c>
      <c r="E86" s="156" t="s">
        <v>189</v>
      </c>
      <c r="F86" s="156" t="s">
        <v>862</v>
      </c>
      <c r="G86" s="156" t="s">
        <v>148</v>
      </c>
    </row>
    <row r="87" spans="1:7" hidden="1" x14ac:dyDescent="0.25">
      <c r="A87" s="158">
        <v>3477</v>
      </c>
      <c r="B87" s="156" t="s">
        <v>181</v>
      </c>
      <c r="C87" s="156" t="s">
        <v>234</v>
      </c>
      <c r="D87" s="156" t="s">
        <v>21</v>
      </c>
      <c r="E87" s="156" t="s">
        <v>191</v>
      </c>
      <c r="F87" s="156" t="s">
        <v>829</v>
      </c>
      <c r="G87" s="156" t="s">
        <v>148</v>
      </c>
    </row>
    <row r="88" spans="1:7" hidden="1" x14ac:dyDescent="0.25">
      <c r="A88" s="158">
        <v>3499</v>
      </c>
      <c r="B88" s="156" t="s">
        <v>181</v>
      </c>
      <c r="C88" s="156" t="s">
        <v>234</v>
      </c>
      <c r="D88" s="156" t="s">
        <v>21</v>
      </c>
      <c r="E88" s="156" t="s">
        <v>14</v>
      </c>
      <c r="F88" s="156" t="s">
        <v>863</v>
      </c>
      <c r="G88" s="156" t="s">
        <v>148</v>
      </c>
    </row>
    <row r="89" spans="1:7" hidden="1" x14ac:dyDescent="0.25">
      <c r="A89" s="158">
        <v>3210</v>
      </c>
      <c r="B89" s="156" t="s">
        <v>181</v>
      </c>
      <c r="C89" s="156" t="s">
        <v>234</v>
      </c>
      <c r="D89" s="156" t="s">
        <v>203</v>
      </c>
      <c r="E89" s="156" t="s">
        <v>15</v>
      </c>
      <c r="F89" s="156" t="s">
        <v>843</v>
      </c>
      <c r="G89" s="156" t="s">
        <v>148</v>
      </c>
    </row>
    <row r="90" spans="1:7" hidden="1" x14ac:dyDescent="0.25">
      <c r="A90" s="158">
        <v>3226</v>
      </c>
      <c r="B90" s="156" t="s">
        <v>181</v>
      </c>
      <c r="C90" s="156" t="s">
        <v>234</v>
      </c>
      <c r="D90" s="156" t="s">
        <v>203</v>
      </c>
      <c r="E90" s="156" t="s">
        <v>207</v>
      </c>
      <c r="F90" s="156" t="s">
        <v>864</v>
      </c>
      <c r="G90" s="156" t="s">
        <v>148</v>
      </c>
    </row>
    <row r="91" spans="1:7" hidden="1" x14ac:dyDescent="0.25">
      <c r="A91" s="158">
        <v>3253</v>
      </c>
      <c r="B91" s="156" t="s">
        <v>181</v>
      </c>
      <c r="C91" s="156" t="s">
        <v>234</v>
      </c>
      <c r="D91" s="156" t="s">
        <v>203</v>
      </c>
      <c r="E91" s="156" t="s">
        <v>16</v>
      </c>
      <c r="F91" s="156" t="s">
        <v>844</v>
      </c>
      <c r="G91" s="156" t="s">
        <v>148</v>
      </c>
    </row>
    <row r="92" spans="1:7" hidden="1" x14ac:dyDescent="0.25">
      <c r="A92" s="158">
        <v>3269</v>
      </c>
      <c r="B92" s="156" t="s">
        <v>181</v>
      </c>
      <c r="C92" s="156" t="s">
        <v>234</v>
      </c>
      <c r="D92" s="156" t="s">
        <v>203</v>
      </c>
      <c r="E92" s="156" t="s">
        <v>212</v>
      </c>
      <c r="F92" s="156" t="s">
        <v>865</v>
      </c>
      <c r="G92" s="156" t="s">
        <v>148</v>
      </c>
    </row>
    <row r="93" spans="1:7" hidden="1" x14ac:dyDescent="0.25">
      <c r="A93" s="158">
        <v>3296</v>
      </c>
      <c r="B93" s="156" t="s">
        <v>181</v>
      </c>
      <c r="C93" s="156" t="s">
        <v>234</v>
      </c>
      <c r="D93" s="156" t="s">
        <v>203</v>
      </c>
      <c r="E93" s="156" t="s">
        <v>17</v>
      </c>
      <c r="F93" s="156" t="s">
        <v>845</v>
      </c>
      <c r="G93" s="156" t="s">
        <v>148</v>
      </c>
    </row>
    <row r="94" spans="1:7" hidden="1" x14ac:dyDescent="0.25">
      <c r="A94" s="158">
        <v>3312</v>
      </c>
      <c r="B94" s="156" t="s">
        <v>181</v>
      </c>
      <c r="C94" s="156" t="s">
        <v>234</v>
      </c>
      <c r="D94" s="156" t="s">
        <v>203</v>
      </c>
      <c r="E94" s="156" t="s">
        <v>217</v>
      </c>
      <c r="F94" s="156" t="s">
        <v>866</v>
      </c>
      <c r="G94" s="156" t="s">
        <v>148</v>
      </c>
    </row>
    <row r="95" spans="1:7" hidden="1" x14ac:dyDescent="0.25">
      <c r="A95" s="158">
        <v>3339</v>
      </c>
      <c r="B95" s="156" t="s">
        <v>181</v>
      </c>
      <c r="C95" s="156" t="s">
        <v>234</v>
      </c>
      <c r="D95" s="156" t="s">
        <v>203</v>
      </c>
      <c r="E95" s="156" t="s">
        <v>18</v>
      </c>
      <c r="F95" s="156" t="s">
        <v>846</v>
      </c>
      <c r="G95" s="156" t="s">
        <v>148</v>
      </c>
    </row>
    <row r="96" spans="1:7" hidden="1" x14ac:dyDescent="0.25">
      <c r="A96" s="158">
        <v>3355</v>
      </c>
      <c r="B96" s="156" t="s">
        <v>181</v>
      </c>
      <c r="C96" s="156" t="s">
        <v>234</v>
      </c>
      <c r="D96" s="156" t="s">
        <v>203</v>
      </c>
      <c r="E96" s="156" t="s">
        <v>222</v>
      </c>
      <c r="F96" s="156" t="s">
        <v>867</v>
      </c>
      <c r="G96" s="156" t="s">
        <v>148</v>
      </c>
    </row>
    <row r="97" spans="1:7" hidden="1" x14ac:dyDescent="0.25">
      <c r="A97" s="158">
        <v>3382</v>
      </c>
      <c r="B97" s="156" t="s">
        <v>181</v>
      </c>
      <c r="C97" s="156" t="s">
        <v>234</v>
      </c>
      <c r="D97" s="156" t="s">
        <v>203</v>
      </c>
      <c r="E97" s="156" t="s">
        <v>19</v>
      </c>
      <c r="F97" s="156" t="s">
        <v>847</v>
      </c>
      <c r="G97" s="156" t="s">
        <v>148</v>
      </c>
    </row>
    <row r="98" spans="1:7" hidden="1" x14ac:dyDescent="0.25">
      <c r="A98" s="158">
        <v>3397</v>
      </c>
      <c r="B98" s="156" t="s">
        <v>181</v>
      </c>
      <c r="C98" s="156" t="s">
        <v>234</v>
      </c>
      <c r="D98" s="156" t="s">
        <v>203</v>
      </c>
      <c r="E98" s="156" t="s">
        <v>227</v>
      </c>
      <c r="F98" s="156" t="s">
        <v>868</v>
      </c>
      <c r="G98" s="156" t="s">
        <v>148</v>
      </c>
    </row>
    <row r="99" spans="1:7" hidden="1" x14ac:dyDescent="0.25">
      <c r="A99" s="158">
        <v>3424</v>
      </c>
      <c r="B99" s="156" t="s">
        <v>181</v>
      </c>
      <c r="C99" s="156" t="s">
        <v>234</v>
      </c>
      <c r="D99" s="156" t="s">
        <v>203</v>
      </c>
      <c r="E99" s="156" t="s">
        <v>20</v>
      </c>
      <c r="F99" s="156" t="s">
        <v>848</v>
      </c>
      <c r="G99" s="156" t="s">
        <v>148</v>
      </c>
    </row>
    <row r="100" spans="1:7" hidden="1" x14ac:dyDescent="0.25">
      <c r="A100" s="158">
        <v>3439</v>
      </c>
      <c r="B100" s="156" t="s">
        <v>181</v>
      </c>
      <c r="C100" s="156" t="s">
        <v>234</v>
      </c>
      <c r="D100" s="156" t="s">
        <v>203</v>
      </c>
      <c r="E100" s="156" t="s">
        <v>232</v>
      </c>
      <c r="F100" s="156" t="s">
        <v>869</v>
      </c>
      <c r="G100" s="156" t="s">
        <v>148</v>
      </c>
    </row>
    <row r="101" spans="1:7" hidden="1" x14ac:dyDescent="0.25">
      <c r="A101" s="158">
        <v>3512</v>
      </c>
      <c r="B101" s="156" t="s">
        <v>181</v>
      </c>
      <c r="C101" s="156" t="s">
        <v>262</v>
      </c>
      <c r="D101" s="156" t="s">
        <v>22</v>
      </c>
      <c r="E101" s="156" t="s">
        <v>15</v>
      </c>
      <c r="F101" s="156" t="s">
        <v>870</v>
      </c>
      <c r="G101" s="156" t="s">
        <v>148</v>
      </c>
    </row>
    <row r="102" spans="1:7" hidden="1" x14ac:dyDescent="0.25">
      <c r="A102" s="158">
        <v>3522</v>
      </c>
      <c r="B102" s="156" t="s">
        <v>181</v>
      </c>
      <c r="C102" s="156" t="s">
        <v>262</v>
      </c>
      <c r="D102" s="156" t="s">
        <v>22</v>
      </c>
      <c r="E102" s="156" t="s">
        <v>16</v>
      </c>
      <c r="F102" s="156" t="s">
        <v>871</v>
      </c>
      <c r="G102" s="156" t="s">
        <v>148</v>
      </c>
    </row>
    <row r="103" spans="1:7" hidden="1" x14ac:dyDescent="0.25">
      <c r="A103" s="158">
        <v>3532</v>
      </c>
      <c r="B103" s="156" t="s">
        <v>181</v>
      </c>
      <c r="C103" s="156" t="s">
        <v>262</v>
      </c>
      <c r="D103" s="156" t="s">
        <v>22</v>
      </c>
      <c r="E103" s="156" t="s">
        <v>17</v>
      </c>
      <c r="F103" s="156" t="s">
        <v>872</v>
      </c>
      <c r="G103" s="156" t="s">
        <v>148</v>
      </c>
    </row>
    <row r="104" spans="1:7" hidden="1" x14ac:dyDescent="0.25">
      <c r="A104" s="158">
        <v>3542</v>
      </c>
      <c r="B104" s="156" t="s">
        <v>181</v>
      </c>
      <c r="C104" s="156" t="s">
        <v>262</v>
      </c>
      <c r="D104" s="156" t="s">
        <v>22</v>
      </c>
      <c r="E104" s="156" t="s">
        <v>18</v>
      </c>
      <c r="F104" s="156" t="s">
        <v>873</v>
      </c>
      <c r="G104" s="156" t="s">
        <v>148</v>
      </c>
    </row>
    <row r="105" spans="1:7" hidden="1" x14ac:dyDescent="0.25">
      <c r="A105" s="158">
        <v>3552</v>
      </c>
      <c r="B105" s="156" t="s">
        <v>181</v>
      </c>
      <c r="C105" s="156" t="s">
        <v>262</v>
      </c>
      <c r="D105" s="156" t="s">
        <v>22</v>
      </c>
      <c r="E105" s="156" t="s">
        <v>19</v>
      </c>
      <c r="F105" s="156" t="s">
        <v>874</v>
      </c>
      <c r="G105" s="156" t="s">
        <v>148</v>
      </c>
    </row>
    <row r="106" spans="1:7" hidden="1" x14ac:dyDescent="0.25">
      <c r="A106" s="158">
        <v>3562</v>
      </c>
      <c r="B106" s="156" t="s">
        <v>181</v>
      </c>
      <c r="C106" s="156" t="s">
        <v>262</v>
      </c>
      <c r="D106" s="156" t="s">
        <v>22</v>
      </c>
      <c r="E106" s="156" t="s">
        <v>20</v>
      </c>
      <c r="F106" s="156" t="s">
        <v>875</v>
      </c>
      <c r="G106" s="156" t="s">
        <v>148</v>
      </c>
    </row>
    <row r="107" spans="1:7" hidden="1" x14ac:dyDescent="0.25">
      <c r="A107" s="158">
        <v>3189</v>
      </c>
      <c r="B107" s="156" t="s">
        <v>181</v>
      </c>
      <c r="C107" s="156" t="s">
        <v>262</v>
      </c>
      <c r="D107" s="156" t="s">
        <v>14</v>
      </c>
      <c r="E107" s="156" t="s">
        <v>15</v>
      </c>
      <c r="F107" s="156" t="s">
        <v>876</v>
      </c>
      <c r="G107" s="156" t="s">
        <v>148</v>
      </c>
    </row>
    <row r="108" spans="1:7" hidden="1" x14ac:dyDescent="0.25">
      <c r="A108" s="158">
        <v>3232</v>
      </c>
      <c r="B108" s="156" t="s">
        <v>181</v>
      </c>
      <c r="C108" s="156" t="s">
        <v>262</v>
      </c>
      <c r="D108" s="156" t="s">
        <v>14</v>
      </c>
      <c r="E108" s="156" t="s">
        <v>16</v>
      </c>
      <c r="F108" s="156" t="s">
        <v>877</v>
      </c>
      <c r="G108" s="156" t="s">
        <v>148</v>
      </c>
    </row>
    <row r="109" spans="1:7" hidden="1" x14ac:dyDescent="0.25">
      <c r="A109" s="158">
        <v>3275</v>
      </c>
      <c r="B109" s="156" t="s">
        <v>181</v>
      </c>
      <c r="C109" s="156" t="s">
        <v>262</v>
      </c>
      <c r="D109" s="156" t="s">
        <v>14</v>
      </c>
      <c r="E109" s="156" t="s">
        <v>17</v>
      </c>
      <c r="F109" s="156" t="s">
        <v>878</v>
      </c>
      <c r="G109" s="156" t="s">
        <v>148</v>
      </c>
    </row>
    <row r="110" spans="1:7" hidden="1" x14ac:dyDescent="0.25">
      <c r="A110" s="158">
        <v>3318</v>
      </c>
      <c r="B110" s="156" t="s">
        <v>181</v>
      </c>
      <c r="C110" s="156" t="s">
        <v>262</v>
      </c>
      <c r="D110" s="156" t="s">
        <v>14</v>
      </c>
      <c r="E110" s="156" t="s">
        <v>18</v>
      </c>
      <c r="F110" s="156" t="s">
        <v>879</v>
      </c>
      <c r="G110" s="156" t="s">
        <v>148</v>
      </c>
    </row>
    <row r="111" spans="1:7" hidden="1" x14ac:dyDescent="0.25">
      <c r="A111" s="158">
        <v>3361</v>
      </c>
      <c r="B111" s="156" t="s">
        <v>181</v>
      </c>
      <c r="C111" s="156" t="s">
        <v>262</v>
      </c>
      <c r="D111" s="156" t="s">
        <v>14</v>
      </c>
      <c r="E111" s="156" t="s">
        <v>19</v>
      </c>
      <c r="F111" s="156" t="s">
        <v>880</v>
      </c>
      <c r="G111" s="156" t="s">
        <v>148</v>
      </c>
    </row>
    <row r="112" spans="1:7" hidden="1" x14ac:dyDescent="0.25">
      <c r="A112" s="158">
        <v>3403</v>
      </c>
      <c r="B112" s="156" t="s">
        <v>181</v>
      </c>
      <c r="C112" s="156" t="s">
        <v>262</v>
      </c>
      <c r="D112" s="156" t="s">
        <v>14</v>
      </c>
      <c r="E112" s="156" t="s">
        <v>20</v>
      </c>
      <c r="F112" s="156" t="s">
        <v>881</v>
      </c>
      <c r="G112" s="156" t="s">
        <v>148</v>
      </c>
    </row>
    <row r="113" spans="1:7" hidden="1" x14ac:dyDescent="0.25">
      <c r="A113" s="158">
        <v>3445</v>
      </c>
      <c r="B113" s="156" t="s">
        <v>181</v>
      </c>
      <c r="C113" s="156" t="s">
        <v>262</v>
      </c>
      <c r="D113" s="156" t="s">
        <v>14</v>
      </c>
      <c r="E113" s="156" t="s">
        <v>189</v>
      </c>
      <c r="F113" s="156" t="s">
        <v>882</v>
      </c>
      <c r="G113" s="156" t="s">
        <v>148</v>
      </c>
    </row>
    <row r="114" spans="1:7" hidden="1" x14ac:dyDescent="0.25">
      <c r="A114" s="158">
        <v>3467</v>
      </c>
      <c r="B114" s="156" t="s">
        <v>181</v>
      </c>
      <c r="C114" s="156" t="s">
        <v>262</v>
      </c>
      <c r="D114" s="156" t="s">
        <v>14</v>
      </c>
      <c r="E114" s="156" t="s">
        <v>191</v>
      </c>
      <c r="F114" s="156" t="s">
        <v>883</v>
      </c>
      <c r="G114" s="156" t="s">
        <v>148</v>
      </c>
    </row>
    <row r="115" spans="1:7" hidden="1" x14ac:dyDescent="0.25">
      <c r="A115" s="158">
        <v>3489</v>
      </c>
      <c r="B115" s="156" t="s">
        <v>181</v>
      </c>
      <c r="C115" s="156" t="s">
        <v>262</v>
      </c>
      <c r="D115" s="156" t="s">
        <v>14</v>
      </c>
      <c r="E115" s="156" t="s">
        <v>14</v>
      </c>
      <c r="F115" s="156" t="s">
        <v>884</v>
      </c>
      <c r="G115" s="156" t="s">
        <v>148</v>
      </c>
    </row>
    <row r="116" spans="1:7" hidden="1" x14ac:dyDescent="0.25">
      <c r="A116" s="158">
        <v>3200</v>
      </c>
      <c r="B116" s="156" t="s">
        <v>181</v>
      </c>
      <c r="C116" s="156" t="s">
        <v>262</v>
      </c>
      <c r="D116" s="156" t="s">
        <v>21</v>
      </c>
      <c r="E116" s="156" t="s">
        <v>15</v>
      </c>
      <c r="F116" s="156" t="s">
        <v>885</v>
      </c>
      <c r="G116" s="156" t="s">
        <v>148</v>
      </c>
    </row>
    <row r="117" spans="1:7" hidden="1" x14ac:dyDescent="0.25">
      <c r="A117" s="158">
        <v>3243</v>
      </c>
      <c r="B117" s="156" t="s">
        <v>181</v>
      </c>
      <c r="C117" s="156" t="s">
        <v>262</v>
      </c>
      <c r="D117" s="156" t="s">
        <v>21</v>
      </c>
      <c r="E117" s="156" t="s">
        <v>16</v>
      </c>
      <c r="F117" s="156" t="s">
        <v>886</v>
      </c>
      <c r="G117" s="156" t="s">
        <v>148</v>
      </c>
    </row>
    <row r="118" spans="1:7" hidden="1" x14ac:dyDescent="0.25">
      <c r="A118" s="158">
        <v>3286</v>
      </c>
      <c r="B118" s="156" t="s">
        <v>181</v>
      </c>
      <c r="C118" s="156" t="s">
        <v>262</v>
      </c>
      <c r="D118" s="156" t="s">
        <v>21</v>
      </c>
      <c r="E118" s="156" t="s">
        <v>17</v>
      </c>
      <c r="F118" s="156" t="s">
        <v>887</v>
      </c>
      <c r="G118" s="156" t="s">
        <v>148</v>
      </c>
    </row>
    <row r="119" spans="1:7" hidden="1" x14ac:dyDescent="0.25">
      <c r="A119" s="158">
        <v>3329</v>
      </c>
      <c r="B119" s="156" t="s">
        <v>181</v>
      </c>
      <c r="C119" s="156" t="s">
        <v>262</v>
      </c>
      <c r="D119" s="156" t="s">
        <v>21</v>
      </c>
      <c r="E119" s="156" t="s">
        <v>18</v>
      </c>
      <c r="F119" s="156" t="s">
        <v>888</v>
      </c>
      <c r="G119" s="156" t="s">
        <v>148</v>
      </c>
    </row>
    <row r="120" spans="1:7" hidden="1" x14ac:dyDescent="0.25">
      <c r="A120" s="158">
        <v>3372</v>
      </c>
      <c r="B120" s="156" t="s">
        <v>181</v>
      </c>
      <c r="C120" s="156" t="s">
        <v>262</v>
      </c>
      <c r="D120" s="156" t="s">
        <v>21</v>
      </c>
      <c r="E120" s="156" t="s">
        <v>19</v>
      </c>
      <c r="F120" s="156" t="s">
        <v>889</v>
      </c>
      <c r="G120" s="156" t="s">
        <v>148</v>
      </c>
    </row>
    <row r="121" spans="1:7" hidden="1" x14ac:dyDescent="0.25">
      <c r="A121" s="158">
        <v>3414</v>
      </c>
      <c r="B121" s="156" t="s">
        <v>181</v>
      </c>
      <c r="C121" s="156" t="s">
        <v>262</v>
      </c>
      <c r="D121" s="156" t="s">
        <v>21</v>
      </c>
      <c r="E121" s="156" t="s">
        <v>20</v>
      </c>
      <c r="F121" s="156" t="s">
        <v>890</v>
      </c>
      <c r="G121" s="156" t="s">
        <v>148</v>
      </c>
    </row>
    <row r="122" spans="1:7" hidden="1" x14ac:dyDescent="0.25">
      <c r="A122" s="158">
        <v>3456</v>
      </c>
      <c r="B122" s="156" t="s">
        <v>181</v>
      </c>
      <c r="C122" s="156" t="s">
        <v>262</v>
      </c>
      <c r="D122" s="156" t="s">
        <v>21</v>
      </c>
      <c r="E122" s="156" t="s">
        <v>189</v>
      </c>
      <c r="F122" s="156" t="s">
        <v>891</v>
      </c>
      <c r="G122" s="156" t="s">
        <v>148</v>
      </c>
    </row>
    <row r="123" spans="1:7" hidden="1" x14ac:dyDescent="0.25">
      <c r="A123" s="158">
        <v>3478</v>
      </c>
      <c r="B123" s="156" t="s">
        <v>181</v>
      </c>
      <c r="C123" s="156" t="s">
        <v>262</v>
      </c>
      <c r="D123" s="156" t="s">
        <v>21</v>
      </c>
      <c r="E123" s="156" t="s">
        <v>191</v>
      </c>
      <c r="F123" s="156" t="s">
        <v>892</v>
      </c>
      <c r="G123" s="156" t="s">
        <v>148</v>
      </c>
    </row>
    <row r="124" spans="1:7" hidden="1" x14ac:dyDescent="0.25">
      <c r="A124" s="158">
        <v>3500</v>
      </c>
      <c r="B124" s="156" t="s">
        <v>181</v>
      </c>
      <c r="C124" s="156" t="s">
        <v>262</v>
      </c>
      <c r="D124" s="156" t="s">
        <v>21</v>
      </c>
      <c r="E124" s="156" t="s">
        <v>14</v>
      </c>
      <c r="F124" s="156" t="s">
        <v>893</v>
      </c>
      <c r="G124" s="156" t="s">
        <v>148</v>
      </c>
    </row>
    <row r="125" spans="1:7" hidden="1" x14ac:dyDescent="0.25">
      <c r="A125" s="158">
        <v>3211</v>
      </c>
      <c r="B125" s="156" t="s">
        <v>181</v>
      </c>
      <c r="C125" s="156" t="s">
        <v>262</v>
      </c>
      <c r="D125" s="156" t="s">
        <v>203</v>
      </c>
      <c r="E125" s="156" t="s">
        <v>15</v>
      </c>
      <c r="F125" s="156" t="s">
        <v>870</v>
      </c>
      <c r="G125" s="156" t="s">
        <v>148</v>
      </c>
    </row>
    <row r="126" spans="1:7" hidden="1" x14ac:dyDescent="0.25">
      <c r="A126" s="158">
        <v>3254</v>
      </c>
      <c r="B126" s="156" t="s">
        <v>181</v>
      </c>
      <c r="C126" s="156" t="s">
        <v>262</v>
      </c>
      <c r="D126" s="156" t="s">
        <v>203</v>
      </c>
      <c r="E126" s="156" t="s">
        <v>16</v>
      </c>
      <c r="F126" s="156" t="s">
        <v>871</v>
      </c>
      <c r="G126" s="156" t="s">
        <v>148</v>
      </c>
    </row>
    <row r="127" spans="1:7" hidden="1" x14ac:dyDescent="0.25">
      <c r="A127" s="158">
        <v>3297</v>
      </c>
      <c r="B127" s="156" t="s">
        <v>181</v>
      </c>
      <c r="C127" s="156" t="s">
        <v>262</v>
      </c>
      <c r="D127" s="156" t="s">
        <v>203</v>
      </c>
      <c r="E127" s="156" t="s">
        <v>17</v>
      </c>
      <c r="F127" s="156" t="s">
        <v>872</v>
      </c>
      <c r="G127" s="156" t="s">
        <v>148</v>
      </c>
    </row>
    <row r="128" spans="1:7" hidden="1" x14ac:dyDescent="0.25">
      <c r="A128" s="158">
        <v>3340</v>
      </c>
      <c r="B128" s="156" t="s">
        <v>181</v>
      </c>
      <c r="C128" s="156" t="s">
        <v>262</v>
      </c>
      <c r="D128" s="156" t="s">
        <v>203</v>
      </c>
      <c r="E128" s="156" t="s">
        <v>18</v>
      </c>
      <c r="F128" s="156" t="s">
        <v>873</v>
      </c>
      <c r="G128" s="156" t="s">
        <v>148</v>
      </c>
    </row>
    <row r="129" spans="1:7" hidden="1" x14ac:dyDescent="0.25">
      <c r="A129" s="158">
        <v>3383</v>
      </c>
      <c r="B129" s="156" t="s">
        <v>181</v>
      </c>
      <c r="C129" s="156" t="s">
        <v>262</v>
      </c>
      <c r="D129" s="156" t="s">
        <v>203</v>
      </c>
      <c r="E129" s="156" t="s">
        <v>19</v>
      </c>
      <c r="F129" s="156" t="s">
        <v>874</v>
      </c>
      <c r="G129" s="156" t="s">
        <v>148</v>
      </c>
    </row>
    <row r="130" spans="1:7" hidden="1" x14ac:dyDescent="0.25">
      <c r="A130" s="158">
        <v>3425</v>
      </c>
      <c r="B130" s="156" t="s">
        <v>181</v>
      </c>
      <c r="C130" s="156" t="s">
        <v>262</v>
      </c>
      <c r="D130" s="156" t="s">
        <v>203</v>
      </c>
      <c r="E130" s="156" t="s">
        <v>20</v>
      </c>
      <c r="F130" s="156" t="s">
        <v>875</v>
      </c>
      <c r="G130" s="156" t="s">
        <v>148</v>
      </c>
    </row>
    <row r="131" spans="1:7" hidden="1" x14ac:dyDescent="0.25">
      <c r="A131" s="158">
        <v>3513</v>
      </c>
      <c r="B131" s="156" t="s">
        <v>181</v>
      </c>
      <c r="C131" s="156" t="s">
        <v>287</v>
      </c>
      <c r="D131" s="156" t="s">
        <v>22</v>
      </c>
      <c r="E131" s="156" t="s">
        <v>15</v>
      </c>
      <c r="F131" s="156" t="s">
        <v>807</v>
      </c>
      <c r="G131" s="156" t="s">
        <v>148</v>
      </c>
    </row>
    <row r="132" spans="1:7" hidden="1" x14ac:dyDescent="0.25">
      <c r="A132" s="158">
        <v>3523</v>
      </c>
      <c r="B132" s="156" t="s">
        <v>181</v>
      </c>
      <c r="C132" s="156" t="s">
        <v>287</v>
      </c>
      <c r="D132" s="156" t="s">
        <v>22</v>
      </c>
      <c r="E132" s="156" t="s">
        <v>16</v>
      </c>
      <c r="F132" s="156" t="s">
        <v>808</v>
      </c>
      <c r="G132" s="156" t="s">
        <v>148</v>
      </c>
    </row>
    <row r="133" spans="1:7" hidden="1" x14ac:dyDescent="0.25">
      <c r="A133" s="158">
        <v>3533</v>
      </c>
      <c r="B133" s="156" t="s">
        <v>181</v>
      </c>
      <c r="C133" s="156" t="s">
        <v>287</v>
      </c>
      <c r="D133" s="156" t="s">
        <v>22</v>
      </c>
      <c r="E133" s="156" t="s">
        <v>17</v>
      </c>
      <c r="F133" s="156" t="s">
        <v>809</v>
      </c>
      <c r="G133" s="156" t="s">
        <v>148</v>
      </c>
    </row>
    <row r="134" spans="1:7" hidden="1" x14ac:dyDescent="0.25">
      <c r="A134" s="158">
        <v>3543</v>
      </c>
      <c r="B134" s="156" t="s">
        <v>181</v>
      </c>
      <c r="C134" s="156" t="s">
        <v>287</v>
      </c>
      <c r="D134" s="156" t="s">
        <v>22</v>
      </c>
      <c r="E134" s="156" t="s">
        <v>18</v>
      </c>
      <c r="F134" s="156" t="s">
        <v>810</v>
      </c>
      <c r="G134" s="156" t="s">
        <v>148</v>
      </c>
    </row>
    <row r="135" spans="1:7" hidden="1" x14ac:dyDescent="0.25">
      <c r="A135" s="158">
        <v>3553</v>
      </c>
      <c r="B135" s="156" t="s">
        <v>181</v>
      </c>
      <c r="C135" s="156" t="s">
        <v>287</v>
      </c>
      <c r="D135" s="156" t="s">
        <v>22</v>
      </c>
      <c r="E135" s="156" t="s">
        <v>19</v>
      </c>
      <c r="F135" s="156" t="s">
        <v>811</v>
      </c>
      <c r="G135" s="156" t="s">
        <v>148</v>
      </c>
    </row>
    <row r="136" spans="1:7" hidden="1" x14ac:dyDescent="0.25">
      <c r="A136" s="158">
        <v>3563</v>
      </c>
      <c r="B136" s="156" t="s">
        <v>181</v>
      </c>
      <c r="C136" s="156" t="s">
        <v>287</v>
      </c>
      <c r="D136" s="156" t="s">
        <v>22</v>
      </c>
      <c r="E136" s="156" t="s">
        <v>20</v>
      </c>
      <c r="F136" s="156" t="s">
        <v>812</v>
      </c>
      <c r="G136" s="156" t="s">
        <v>148</v>
      </c>
    </row>
    <row r="137" spans="1:7" hidden="1" x14ac:dyDescent="0.25">
      <c r="A137" s="158">
        <v>3190</v>
      </c>
      <c r="B137" s="156" t="s">
        <v>181</v>
      </c>
      <c r="C137" s="156" t="s">
        <v>287</v>
      </c>
      <c r="D137" s="156" t="s">
        <v>14</v>
      </c>
      <c r="E137" s="156" t="s">
        <v>15</v>
      </c>
      <c r="F137" s="156" t="s">
        <v>813</v>
      </c>
      <c r="G137" s="156" t="s">
        <v>148</v>
      </c>
    </row>
    <row r="138" spans="1:7" hidden="1" x14ac:dyDescent="0.25">
      <c r="A138" s="158">
        <v>3233</v>
      </c>
      <c r="B138" s="156" t="s">
        <v>181</v>
      </c>
      <c r="C138" s="156" t="s">
        <v>287</v>
      </c>
      <c r="D138" s="156" t="s">
        <v>14</v>
      </c>
      <c r="E138" s="156" t="s">
        <v>16</v>
      </c>
      <c r="F138" s="156" t="s">
        <v>814</v>
      </c>
      <c r="G138" s="156" t="s">
        <v>148</v>
      </c>
    </row>
    <row r="139" spans="1:7" hidden="1" x14ac:dyDescent="0.25">
      <c r="A139" s="158">
        <v>3276</v>
      </c>
      <c r="B139" s="156" t="s">
        <v>181</v>
      </c>
      <c r="C139" s="156" t="s">
        <v>287</v>
      </c>
      <c r="D139" s="156" t="s">
        <v>14</v>
      </c>
      <c r="E139" s="156" t="s">
        <v>17</v>
      </c>
      <c r="F139" s="156" t="s">
        <v>815</v>
      </c>
      <c r="G139" s="156" t="s">
        <v>148</v>
      </c>
    </row>
    <row r="140" spans="1:7" hidden="1" x14ac:dyDescent="0.25">
      <c r="A140" s="158">
        <v>3319</v>
      </c>
      <c r="B140" s="156" t="s">
        <v>181</v>
      </c>
      <c r="C140" s="156" t="s">
        <v>287</v>
      </c>
      <c r="D140" s="156" t="s">
        <v>14</v>
      </c>
      <c r="E140" s="156" t="s">
        <v>18</v>
      </c>
      <c r="F140" s="156" t="s">
        <v>816</v>
      </c>
      <c r="G140" s="156" t="s">
        <v>148</v>
      </c>
    </row>
    <row r="141" spans="1:7" hidden="1" x14ac:dyDescent="0.25">
      <c r="A141" s="158">
        <v>3362</v>
      </c>
      <c r="B141" s="156" t="s">
        <v>181</v>
      </c>
      <c r="C141" s="156" t="s">
        <v>287</v>
      </c>
      <c r="D141" s="156" t="s">
        <v>14</v>
      </c>
      <c r="E141" s="156" t="s">
        <v>19</v>
      </c>
      <c r="F141" s="156" t="s">
        <v>817</v>
      </c>
      <c r="G141" s="156" t="s">
        <v>148</v>
      </c>
    </row>
    <row r="142" spans="1:7" hidden="1" x14ac:dyDescent="0.25">
      <c r="A142" s="158">
        <v>3404</v>
      </c>
      <c r="B142" s="156" t="s">
        <v>181</v>
      </c>
      <c r="C142" s="156" t="s">
        <v>287</v>
      </c>
      <c r="D142" s="156" t="s">
        <v>14</v>
      </c>
      <c r="E142" s="156" t="s">
        <v>20</v>
      </c>
      <c r="F142" s="156" t="s">
        <v>818</v>
      </c>
      <c r="G142" s="156" t="s">
        <v>148</v>
      </c>
    </row>
    <row r="143" spans="1:7" hidden="1" x14ac:dyDescent="0.25">
      <c r="A143" s="158">
        <v>3446</v>
      </c>
      <c r="B143" s="156" t="s">
        <v>181</v>
      </c>
      <c r="C143" s="156" t="s">
        <v>287</v>
      </c>
      <c r="D143" s="156" t="s">
        <v>14</v>
      </c>
      <c r="E143" s="156" t="s">
        <v>189</v>
      </c>
      <c r="F143" s="156" t="s">
        <v>819</v>
      </c>
      <c r="G143" s="156" t="s">
        <v>148</v>
      </c>
    </row>
    <row r="144" spans="1:7" hidden="1" x14ac:dyDescent="0.25">
      <c r="A144" s="158">
        <v>3468</v>
      </c>
      <c r="B144" s="156" t="s">
        <v>181</v>
      </c>
      <c r="C144" s="156" t="s">
        <v>287</v>
      </c>
      <c r="D144" s="156" t="s">
        <v>14</v>
      </c>
      <c r="E144" s="156" t="s">
        <v>191</v>
      </c>
      <c r="F144" s="156" t="s">
        <v>820</v>
      </c>
      <c r="G144" s="156" t="s">
        <v>148</v>
      </c>
    </row>
    <row r="145" spans="1:7" hidden="1" x14ac:dyDescent="0.25">
      <c r="A145" s="158">
        <v>3490</v>
      </c>
      <c r="B145" s="156" t="s">
        <v>181</v>
      </c>
      <c r="C145" s="156" t="s">
        <v>287</v>
      </c>
      <c r="D145" s="156" t="s">
        <v>14</v>
      </c>
      <c r="E145" s="156" t="s">
        <v>14</v>
      </c>
      <c r="F145" s="156" t="s">
        <v>821</v>
      </c>
      <c r="G145" s="156" t="s">
        <v>148</v>
      </c>
    </row>
    <row r="146" spans="1:7" hidden="1" x14ac:dyDescent="0.25">
      <c r="A146" s="158">
        <v>3509</v>
      </c>
      <c r="B146" s="156" t="s">
        <v>181</v>
      </c>
      <c r="C146" s="156" t="s">
        <v>287</v>
      </c>
      <c r="D146" s="156" t="s">
        <v>14</v>
      </c>
      <c r="E146" s="156" t="s">
        <v>288</v>
      </c>
      <c r="F146" s="156" t="s">
        <v>894</v>
      </c>
      <c r="G146" s="156" t="s">
        <v>148</v>
      </c>
    </row>
    <row r="147" spans="1:7" hidden="1" x14ac:dyDescent="0.25">
      <c r="A147" s="158">
        <v>3201</v>
      </c>
      <c r="B147" s="156" t="s">
        <v>181</v>
      </c>
      <c r="C147" s="156" t="s">
        <v>287</v>
      </c>
      <c r="D147" s="156" t="s">
        <v>21</v>
      </c>
      <c r="E147" s="156" t="s">
        <v>15</v>
      </c>
      <c r="F147" s="156" t="s">
        <v>822</v>
      </c>
      <c r="G147" s="156" t="s">
        <v>148</v>
      </c>
    </row>
    <row r="148" spans="1:7" hidden="1" x14ac:dyDescent="0.25">
      <c r="A148" s="158">
        <v>3244</v>
      </c>
      <c r="B148" s="156" t="s">
        <v>181</v>
      </c>
      <c r="C148" s="156" t="s">
        <v>287</v>
      </c>
      <c r="D148" s="156" t="s">
        <v>21</v>
      </c>
      <c r="E148" s="156" t="s">
        <v>16</v>
      </c>
      <c r="F148" s="156" t="s">
        <v>823</v>
      </c>
      <c r="G148" s="156" t="s">
        <v>148</v>
      </c>
    </row>
    <row r="149" spans="1:7" hidden="1" x14ac:dyDescent="0.25">
      <c r="A149" s="158">
        <v>3287</v>
      </c>
      <c r="B149" s="156" t="s">
        <v>181</v>
      </c>
      <c r="C149" s="156" t="s">
        <v>287</v>
      </c>
      <c r="D149" s="156" t="s">
        <v>21</v>
      </c>
      <c r="E149" s="156" t="s">
        <v>17</v>
      </c>
      <c r="F149" s="156" t="s">
        <v>824</v>
      </c>
      <c r="G149" s="156" t="s">
        <v>148</v>
      </c>
    </row>
    <row r="150" spans="1:7" hidden="1" x14ac:dyDescent="0.25">
      <c r="A150" s="158">
        <v>3330</v>
      </c>
      <c r="B150" s="156" t="s">
        <v>181</v>
      </c>
      <c r="C150" s="156" t="s">
        <v>287</v>
      </c>
      <c r="D150" s="156" t="s">
        <v>21</v>
      </c>
      <c r="E150" s="156" t="s">
        <v>18</v>
      </c>
      <c r="F150" s="156" t="s">
        <v>825</v>
      </c>
      <c r="G150" s="156" t="s">
        <v>148</v>
      </c>
    </row>
    <row r="151" spans="1:7" hidden="1" x14ac:dyDescent="0.25">
      <c r="A151" s="158">
        <v>3373</v>
      </c>
      <c r="B151" s="156" t="s">
        <v>181</v>
      </c>
      <c r="C151" s="156" t="s">
        <v>287</v>
      </c>
      <c r="D151" s="156" t="s">
        <v>21</v>
      </c>
      <c r="E151" s="156" t="s">
        <v>19</v>
      </c>
      <c r="F151" s="156" t="s">
        <v>826</v>
      </c>
      <c r="G151" s="156" t="s">
        <v>148</v>
      </c>
    </row>
    <row r="152" spans="1:7" hidden="1" x14ac:dyDescent="0.25">
      <c r="A152" s="158">
        <v>3415</v>
      </c>
      <c r="B152" s="156" t="s">
        <v>181</v>
      </c>
      <c r="C152" s="156" t="s">
        <v>287</v>
      </c>
      <c r="D152" s="156" t="s">
        <v>21</v>
      </c>
      <c r="E152" s="156" t="s">
        <v>20</v>
      </c>
      <c r="F152" s="156" t="s">
        <v>827</v>
      </c>
      <c r="G152" s="156" t="s">
        <v>148</v>
      </c>
    </row>
    <row r="153" spans="1:7" hidden="1" x14ac:dyDescent="0.25">
      <c r="A153" s="158">
        <v>3457</v>
      </c>
      <c r="B153" s="156" t="s">
        <v>181</v>
      </c>
      <c r="C153" s="156" t="s">
        <v>287</v>
      </c>
      <c r="D153" s="156" t="s">
        <v>21</v>
      </c>
      <c r="E153" s="156" t="s">
        <v>189</v>
      </c>
      <c r="F153" s="156" t="s">
        <v>828</v>
      </c>
      <c r="G153" s="156" t="s">
        <v>148</v>
      </c>
    </row>
    <row r="154" spans="1:7" hidden="1" x14ac:dyDescent="0.25">
      <c r="A154" s="158">
        <v>3479</v>
      </c>
      <c r="B154" s="156" t="s">
        <v>181</v>
      </c>
      <c r="C154" s="156" t="s">
        <v>287</v>
      </c>
      <c r="D154" s="156" t="s">
        <v>21</v>
      </c>
      <c r="E154" s="156" t="s">
        <v>191</v>
      </c>
      <c r="F154" s="156" t="s">
        <v>829</v>
      </c>
      <c r="G154" s="156" t="s">
        <v>148</v>
      </c>
    </row>
    <row r="155" spans="1:7" hidden="1" x14ac:dyDescent="0.25">
      <c r="A155" s="158">
        <v>3501</v>
      </c>
      <c r="B155" s="156" t="s">
        <v>181</v>
      </c>
      <c r="C155" s="156" t="s">
        <v>287</v>
      </c>
      <c r="D155" s="156" t="s">
        <v>21</v>
      </c>
      <c r="E155" s="156" t="s">
        <v>14</v>
      </c>
      <c r="F155" s="156" t="s">
        <v>830</v>
      </c>
      <c r="G155" s="156" t="s">
        <v>148</v>
      </c>
    </row>
    <row r="156" spans="1:7" hidden="1" x14ac:dyDescent="0.25">
      <c r="A156" s="158">
        <v>3212</v>
      </c>
      <c r="B156" s="156" t="s">
        <v>181</v>
      </c>
      <c r="C156" s="156" t="s">
        <v>287</v>
      </c>
      <c r="D156" s="156" t="s">
        <v>203</v>
      </c>
      <c r="E156" s="156" t="s">
        <v>15</v>
      </c>
      <c r="F156" s="156" t="s">
        <v>807</v>
      </c>
      <c r="G156" s="156" t="s">
        <v>148</v>
      </c>
    </row>
    <row r="157" spans="1:7" hidden="1" x14ac:dyDescent="0.25">
      <c r="A157" s="158">
        <v>3224</v>
      </c>
      <c r="B157" s="156" t="s">
        <v>181</v>
      </c>
      <c r="C157" s="156" t="s">
        <v>287</v>
      </c>
      <c r="D157" s="156" t="s">
        <v>203</v>
      </c>
      <c r="E157" s="156" t="s">
        <v>205</v>
      </c>
      <c r="F157" s="156" t="s">
        <v>831</v>
      </c>
      <c r="G157" s="156" t="s">
        <v>148</v>
      </c>
    </row>
    <row r="158" spans="1:7" hidden="1" x14ac:dyDescent="0.25">
      <c r="A158" s="158">
        <v>3227</v>
      </c>
      <c r="B158" s="156" t="s">
        <v>181</v>
      </c>
      <c r="C158" s="156" t="s">
        <v>287</v>
      </c>
      <c r="D158" s="156" t="s">
        <v>203</v>
      </c>
      <c r="E158" s="156" t="s">
        <v>207</v>
      </c>
      <c r="F158" s="156" t="s">
        <v>832</v>
      </c>
      <c r="G158" s="156" t="s">
        <v>148</v>
      </c>
    </row>
    <row r="159" spans="1:7" hidden="1" x14ac:dyDescent="0.25">
      <c r="A159" s="158">
        <v>3255</v>
      </c>
      <c r="B159" s="156" t="s">
        <v>181</v>
      </c>
      <c r="C159" s="156" t="s">
        <v>287</v>
      </c>
      <c r="D159" s="156" t="s">
        <v>203</v>
      </c>
      <c r="E159" s="156" t="s">
        <v>16</v>
      </c>
      <c r="F159" s="156" t="s">
        <v>808</v>
      </c>
      <c r="G159" s="156" t="s">
        <v>148</v>
      </c>
    </row>
    <row r="160" spans="1:7" hidden="1" x14ac:dyDescent="0.25">
      <c r="A160" s="158">
        <v>3267</v>
      </c>
      <c r="B160" s="156" t="s">
        <v>181</v>
      </c>
      <c r="C160" s="156" t="s">
        <v>287</v>
      </c>
      <c r="D160" s="156" t="s">
        <v>203</v>
      </c>
      <c r="E160" s="156" t="s">
        <v>210</v>
      </c>
      <c r="F160" s="156" t="s">
        <v>833</v>
      </c>
      <c r="G160" s="156" t="s">
        <v>148</v>
      </c>
    </row>
    <row r="161" spans="1:7" hidden="1" x14ac:dyDescent="0.25">
      <c r="A161" s="158">
        <v>3270</v>
      </c>
      <c r="B161" s="156" t="s">
        <v>181</v>
      </c>
      <c r="C161" s="156" t="s">
        <v>287</v>
      </c>
      <c r="D161" s="156" t="s">
        <v>203</v>
      </c>
      <c r="E161" s="156" t="s">
        <v>212</v>
      </c>
      <c r="F161" s="156" t="s">
        <v>834</v>
      </c>
      <c r="G161" s="156" t="s">
        <v>148</v>
      </c>
    </row>
    <row r="162" spans="1:7" hidden="1" x14ac:dyDescent="0.25">
      <c r="A162" s="158">
        <v>3298</v>
      </c>
      <c r="B162" s="156" t="s">
        <v>181</v>
      </c>
      <c r="C162" s="156" t="s">
        <v>287</v>
      </c>
      <c r="D162" s="156" t="s">
        <v>203</v>
      </c>
      <c r="E162" s="156" t="s">
        <v>17</v>
      </c>
      <c r="F162" s="156" t="s">
        <v>809</v>
      </c>
      <c r="G162" s="156" t="s">
        <v>148</v>
      </c>
    </row>
    <row r="163" spans="1:7" hidden="1" x14ac:dyDescent="0.25">
      <c r="A163" s="158">
        <v>3310</v>
      </c>
      <c r="B163" s="156" t="s">
        <v>181</v>
      </c>
      <c r="C163" s="156" t="s">
        <v>287</v>
      </c>
      <c r="D163" s="156" t="s">
        <v>203</v>
      </c>
      <c r="E163" s="156" t="s">
        <v>215</v>
      </c>
      <c r="F163" s="156" t="s">
        <v>835</v>
      </c>
      <c r="G163" s="156" t="s">
        <v>148</v>
      </c>
    </row>
    <row r="164" spans="1:7" hidden="1" x14ac:dyDescent="0.25">
      <c r="A164" s="158">
        <v>3313</v>
      </c>
      <c r="B164" s="156" t="s">
        <v>181</v>
      </c>
      <c r="C164" s="156" t="s">
        <v>287</v>
      </c>
      <c r="D164" s="156" t="s">
        <v>203</v>
      </c>
      <c r="E164" s="156" t="s">
        <v>217</v>
      </c>
      <c r="F164" s="156" t="s">
        <v>836</v>
      </c>
      <c r="G164" s="156" t="s">
        <v>148</v>
      </c>
    </row>
    <row r="165" spans="1:7" hidden="1" x14ac:dyDescent="0.25">
      <c r="A165" s="158">
        <v>3341</v>
      </c>
      <c r="B165" s="156" t="s">
        <v>181</v>
      </c>
      <c r="C165" s="156" t="s">
        <v>287</v>
      </c>
      <c r="D165" s="156" t="s">
        <v>203</v>
      </c>
      <c r="E165" s="156" t="s">
        <v>18</v>
      </c>
      <c r="F165" s="156" t="s">
        <v>810</v>
      </c>
      <c r="G165" s="156" t="s">
        <v>148</v>
      </c>
    </row>
    <row r="166" spans="1:7" hidden="1" x14ac:dyDescent="0.25">
      <c r="A166" s="158">
        <v>3353</v>
      </c>
      <c r="B166" s="156" t="s">
        <v>181</v>
      </c>
      <c r="C166" s="156" t="s">
        <v>287</v>
      </c>
      <c r="D166" s="156" t="s">
        <v>203</v>
      </c>
      <c r="E166" s="156" t="s">
        <v>220</v>
      </c>
      <c r="F166" s="156" t="s">
        <v>837</v>
      </c>
      <c r="G166" s="156" t="s">
        <v>148</v>
      </c>
    </row>
    <row r="167" spans="1:7" hidden="1" x14ac:dyDescent="0.25">
      <c r="A167" s="158">
        <v>3356</v>
      </c>
      <c r="B167" s="156" t="s">
        <v>181</v>
      </c>
      <c r="C167" s="156" t="s">
        <v>287</v>
      </c>
      <c r="D167" s="156" t="s">
        <v>203</v>
      </c>
      <c r="E167" s="156" t="s">
        <v>222</v>
      </c>
      <c r="F167" s="156" t="s">
        <v>838</v>
      </c>
      <c r="G167" s="156" t="s">
        <v>148</v>
      </c>
    </row>
    <row r="168" spans="1:7" hidden="1" x14ac:dyDescent="0.25">
      <c r="A168" s="158">
        <v>3384</v>
      </c>
      <c r="B168" s="156" t="s">
        <v>181</v>
      </c>
      <c r="C168" s="156" t="s">
        <v>287</v>
      </c>
      <c r="D168" s="156" t="s">
        <v>203</v>
      </c>
      <c r="E168" s="156" t="s">
        <v>19</v>
      </c>
      <c r="F168" s="156" t="s">
        <v>811</v>
      </c>
      <c r="G168" s="156" t="s">
        <v>148</v>
      </c>
    </row>
    <row r="169" spans="1:7" hidden="1" x14ac:dyDescent="0.25">
      <c r="A169" s="158">
        <v>3395</v>
      </c>
      <c r="B169" s="156" t="s">
        <v>181</v>
      </c>
      <c r="C169" s="156" t="s">
        <v>287</v>
      </c>
      <c r="D169" s="156" t="s">
        <v>203</v>
      </c>
      <c r="E169" s="156" t="s">
        <v>225</v>
      </c>
      <c r="F169" s="156" t="s">
        <v>839</v>
      </c>
      <c r="G169" s="156" t="s">
        <v>148</v>
      </c>
    </row>
    <row r="170" spans="1:7" hidden="1" x14ac:dyDescent="0.25">
      <c r="A170" s="158">
        <v>3398</v>
      </c>
      <c r="B170" s="156" t="s">
        <v>181</v>
      </c>
      <c r="C170" s="156" t="s">
        <v>287</v>
      </c>
      <c r="D170" s="156" t="s">
        <v>203</v>
      </c>
      <c r="E170" s="156" t="s">
        <v>227</v>
      </c>
      <c r="F170" s="156" t="s">
        <v>840</v>
      </c>
      <c r="G170" s="156" t="s">
        <v>148</v>
      </c>
    </row>
    <row r="171" spans="1:7" hidden="1" x14ac:dyDescent="0.25">
      <c r="A171" s="158">
        <v>3426</v>
      </c>
      <c r="B171" s="156" t="s">
        <v>181</v>
      </c>
      <c r="C171" s="156" t="s">
        <v>287</v>
      </c>
      <c r="D171" s="156" t="s">
        <v>203</v>
      </c>
      <c r="E171" s="156" t="s">
        <v>20</v>
      </c>
      <c r="F171" s="156" t="s">
        <v>812</v>
      </c>
      <c r="G171" s="156" t="s">
        <v>148</v>
      </c>
    </row>
    <row r="172" spans="1:7" hidden="1" x14ac:dyDescent="0.25">
      <c r="A172" s="158">
        <v>3437</v>
      </c>
      <c r="B172" s="156" t="s">
        <v>181</v>
      </c>
      <c r="C172" s="156" t="s">
        <v>287</v>
      </c>
      <c r="D172" s="156" t="s">
        <v>203</v>
      </c>
      <c r="E172" s="156" t="s">
        <v>230</v>
      </c>
      <c r="F172" s="156" t="s">
        <v>841</v>
      </c>
      <c r="G172" s="156" t="s">
        <v>148</v>
      </c>
    </row>
    <row r="173" spans="1:7" hidden="1" x14ac:dyDescent="0.25">
      <c r="A173" s="158">
        <v>3440</v>
      </c>
      <c r="B173" s="156" t="s">
        <v>181</v>
      </c>
      <c r="C173" s="156" t="s">
        <v>287</v>
      </c>
      <c r="D173" s="156" t="s">
        <v>203</v>
      </c>
      <c r="E173" s="156" t="s">
        <v>232</v>
      </c>
      <c r="F173" s="156" t="s">
        <v>842</v>
      </c>
      <c r="G173" s="156" t="s">
        <v>148</v>
      </c>
    </row>
    <row r="174" spans="1:7" hidden="1" x14ac:dyDescent="0.25">
      <c r="A174" s="158">
        <v>3514</v>
      </c>
      <c r="B174" s="156" t="s">
        <v>181</v>
      </c>
      <c r="C174" s="156" t="s">
        <v>290</v>
      </c>
      <c r="D174" s="156" t="s">
        <v>22</v>
      </c>
      <c r="E174" s="156" t="s">
        <v>15</v>
      </c>
      <c r="F174" s="156" t="s">
        <v>807</v>
      </c>
      <c r="G174" s="156" t="s">
        <v>148</v>
      </c>
    </row>
    <row r="175" spans="1:7" hidden="1" x14ac:dyDescent="0.25">
      <c r="A175" s="158">
        <v>3524</v>
      </c>
      <c r="B175" s="156" t="s">
        <v>181</v>
      </c>
      <c r="C175" s="156" t="s">
        <v>290</v>
      </c>
      <c r="D175" s="156" t="s">
        <v>22</v>
      </c>
      <c r="E175" s="156" t="s">
        <v>16</v>
      </c>
      <c r="F175" s="156" t="s">
        <v>808</v>
      </c>
      <c r="G175" s="156" t="s">
        <v>148</v>
      </c>
    </row>
    <row r="176" spans="1:7" hidden="1" x14ac:dyDescent="0.25">
      <c r="A176" s="158">
        <v>3534</v>
      </c>
      <c r="B176" s="156" t="s">
        <v>181</v>
      </c>
      <c r="C176" s="156" t="s">
        <v>290</v>
      </c>
      <c r="D176" s="156" t="s">
        <v>22</v>
      </c>
      <c r="E176" s="156" t="s">
        <v>17</v>
      </c>
      <c r="F176" s="156" t="s">
        <v>809</v>
      </c>
      <c r="G176" s="156" t="s">
        <v>148</v>
      </c>
    </row>
    <row r="177" spans="1:7" hidden="1" x14ac:dyDescent="0.25">
      <c r="A177" s="158">
        <v>3544</v>
      </c>
      <c r="B177" s="156" t="s">
        <v>181</v>
      </c>
      <c r="C177" s="156" t="s">
        <v>290</v>
      </c>
      <c r="D177" s="156" t="s">
        <v>22</v>
      </c>
      <c r="E177" s="156" t="s">
        <v>18</v>
      </c>
      <c r="F177" s="156" t="s">
        <v>810</v>
      </c>
      <c r="G177" s="156" t="s">
        <v>148</v>
      </c>
    </row>
    <row r="178" spans="1:7" hidden="1" x14ac:dyDescent="0.25">
      <c r="A178" s="158">
        <v>3554</v>
      </c>
      <c r="B178" s="156" t="s">
        <v>181</v>
      </c>
      <c r="C178" s="156" t="s">
        <v>290</v>
      </c>
      <c r="D178" s="156" t="s">
        <v>22</v>
      </c>
      <c r="E178" s="156" t="s">
        <v>19</v>
      </c>
      <c r="F178" s="156" t="s">
        <v>811</v>
      </c>
      <c r="G178" s="156" t="s">
        <v>148</v>
      </c>
    </row>
    <row r="179" spans="1:7" hidden="1" x14ac:dyDescent="0.25">
      <c r="A179" s="158">
        <v>3564</v>
      </c>
      <c r="B179" s="156" t="s">
        <v>181</v>
      </c>
      <c r="C179" s="156" t="s">
        <v>290</v>
      </c>
      <c r="D179" s="156" t="s">
        <v>22</v>
      </c>
      <c r="E179" s="156" t="s">
        <v>20</v>
      </c>
      <c r="F179" s="156" t="s">
        <v>812</v>
      </c>
      <c r="G179" s="156" t="s">
        <v>148</v>
      </c>
    </row>
    <row r="180" spans="1:7" hidden="1" x14ac:dyDescent="0.25">
      <c r="A180" s="158">
        <v>3191</v>
      </c>
      <c r="B180" s="156" t="s">
        <v>181</v>
      </c>
      <c r="C180" s="156" t="s">
        <v>290</v>
      </c>
      <c r="D180" s="156" t="s">
        <v>14</v>
      </c>
      <c r="E180" s="156" t="s">
        <v>15</v>
      </c>
      <c r="F180" s="156" t="s">
        <v>813</v>
      </c>
      <c r="G180" s="156" t="s">
        <v>148</v>
      </c>
    </row>
    <row r="181" spans="1:7" hidden="1" x14ac:dyDescent="0.25">
      <c r="A181" s="158">
        <v>3234</v>
      </c>
      <c r="B181" s="156" t="s">
        <v>181</v>
      </c>
      <c r="C181" s="156" t="s">
        <v>290</v>
      </c>
      <c r="D181" s="156" t="s">
        <v>14</v>
      </c>
      <c r="E181" s="156" t="s">
        <v>16</v>
      </c>
      <c r="F181" s="156" t="s">
        <v>814</v>
      </c>
      <c r="G181" s="156" t="s">
        <v>148</v>
      </c>
    </row>
    <row r="182" spans="1:7" hidden="1" x14ac:dyDescent="0.25">
      <c r="A182" s="158">
        <v>3277</v>
      </c>
      <c r="B182" s="156" t="s">
        <v>181</v>
      </c>
      <c r="C182" s="156" t="s">
        <v>290</v>
      </c>
      <c r="D182" s="156" t="s">
        <v>14</v>
      </c>
      <c r="E182" s="156" t="s">
        <v>17</v>
      </c>
      <c r="F182" s="156" t="s">
        <v>815</v>
      </c>
      <c r="G182" s="156" t="s">
        <v>148</v>
      </c>
    </row>
    <row r="183" spans="1:7" hidden="1" x14ac:dyDescent="0.25">
      <c r="A183" s="158">
        <v>3320</v>
      </c>
      <c r="B183" s="156" t="s">
        <v>181</v>
      </c>
      <c r="C183" s="156" t="s">
        <v>290</v>
      </c>
      <c r="D183" s="156" t="s">
        <v>14</v>
      </c>
      <c r="E183" s="156" t="s">
        <v>18</v>
      </c>
      <c r="F183" s="156" t="s">
        <v>816</v>
      </c>
      <c r="G183" s="156" t="s">
        <v>148</v>
      </c>
    </row>
    <row r="184" spans="1:7" hidden="1" x14ac:dyDescent="0.25">
      <c r="A184" s="158">
        <v>3351</v>
      </c>
      <c r="B184" s="156" t="s">
        <v>181</v>
      </c>
      <c r="C184" s="156" t="s">
        <v>290</v>
      </c>
      <c r="D184" s="156" t="s">
        <v>14</v>
      </c>
      <c r="E184" s="156" t="s">
        <v>291</v>
      </c>
      <c r="F184" s="156" t="s">
        <v>895</v>
      </c>
      <c r="G184" s="156" t="s">
        <v>148</v>
      </c>
    </row>
    <row r="185" spans="1:7" hidden="1" x14ac:dyDescent="0.25">
      <c r="A185" s="158">
        <v>3363</v>
      </c>
      <c r="B185" s="156" t="s">
        <v>181</v>
      </c>
      <c r="C185" s="156" t="s">
        <v>290</v>
      </c>
      <c r="D185" s="156" t="s">
        <v>14</v>
      </c>
      <c r="E185" s="156" t="s">
        <v>19</v>
      </c>
      <c r="F185" s="156" t="s">
        <v>817</v>
      </c>
      <c r="G185" s="156" t="s">
        <v>148</v>
      </c>
    </row>
    <row r="186" spans="1:7" hidden="1" x14ac:dyDescent="0.25">
      <c r="A186" s="158">
        <v>3405</v>
      </c>
      <c r="B186" s="156" t="s">
        <v>181</v>
      </c>
      <c r="C186" s="156" t="s">
        <v>290</v>
      </c>
      <c r="D186" s="156" t="s">
        <v>14</v>
      </c>
      <c r="E186" s="156" t="s">
        <v>20</v>
      </c>
      <c r="F186" s="156" t="s">
        <v>818</v>
      </c>
      <c r="G186" s="156" t="s">
        <v>148</v>
      </c>
    </row>
    <row r="187" spans="1:7" hidden="1" x14ac:dyDescent="0.25">
      <c r="A187" s="158">
        <v>3447</v>
      </c>
      <c r="B187" s="156" t="s">
        <v>181</v>
      </c>
      <c r="C187" s="156" t="s">
        <v>290</v>
      </c>
      <c r="D187" s="156" t="s">
        <v>14</v>
      </c>
      <c r="E187" s="156" t="s">
        <v>189</v>
      </c>
      <c r="F187" s="156" t="s">
        <v>819</v>
      </c>
      <c r="G187" s="156" t="s">
        <v>148</v>
      </c>
    </row>
    <row r="188" spans="1:7" hidden="1" x14ac:dyDescent="0.25">
      <c r="A188" s="158">
        <v>3469</v>
      </c>
      <c r="B188" s="156" t="s">
        <v>181</v>
      </c>
      <c r="C188" s="156" t="s">
        <v>290</v>
      </c>
      <c r="D188" s="156" t="s">
        <v>14</v>
      </c>
      <c r="E188" s="156" t="s">
        <v>191</v>
      </c>
      <c r="F188" s="156" t="s">
        <v>820</v>
      </c>
      <c r="G188" s="156" t="s">
        <v>148</v>
      </c>
    </row>
    <row r="189" spans="1:7" hidden="1" x14ac:dyDescent="0.25">
      <c r="A189" s="158">
        <v>3491</v>
      </c>
      <c r="B189" s="156" t="s">
        <v>181</v>
      </c>
      <c r="C189" s="156" t="s">
        <v>290</v>
      </c>
      <c r="D189" s="156" t="s">
        <v>14</v>
      </c>
      <c r="E189" s="156" t="s">
        <v>14</v>
      </c>
      <c r="F189" s="156" t="s">
        <v>821</v>
      </c>
      <c r="G189" s="156" t="s">
        <v>148</v>
      </c>
    </row>
    <row r="190" spans="1:7" hidden="1" x14ac:dyDescent="0.25">
      <c r="A190" s="158">
        <v>3202</v>
      </c>
      <c r="B190" s="156" t="s">
        <v>181</v>
      </c>
      <c r="C190" s="156" t="s">
        <v>290</v>
      </c>
      <c r="D190" s="156" t="s">
        <v>21</v>
      </c>
      <c r="E190" s="156" t="s">
        <v>15</v>
      </c>
      <c r="F190" s="156" t="s">
        <v>822</v>
      </c>
      <c r="G190" s="156" t="s">
        <v>148</v>
      </c>
    </row>
    <row r="191" spans="1:7" hidden="1" x14ac:dyDescent="0.25">
      <c r="A191" s="158">
        <v>3245</v>
      </c>
      <c r="B191" s="156" t="s">
        <v>181</v>
      </c>
      <c r="C191" s="156" t="s">
        <v>290</v>
      </c>
      <c r="D191" s="156" t="s">
        <v>21</v>
      </c>
      <c r="E191" s="156" t="s">
        <v>16</v>
      </c>
      <c r="F191" s="156" t="s">
        <v>823</v>
      </c>
      <c r="G191" s="156" t="s">
        <v>148</v>
      </c>
    </row>
    <row r="192" spans="1:7" hidden="1" x14ac:dyDescent="0.25">
      <c r="A192" s="158">
        <v>3288</v>
      </c>
      <c r="B192" s="156" t="s">
        <v>181</v>
      </c>
      <c r="C192" s="156" t="s">
        <v>290</v>
      </c>
      <c r="D192" s="156" t="s">
        <v>21</v>
      </c>
      <c r="E192" s="156" t="s">
        <v>17</v>
      </c>
      <c r="F192" s="156" t="s">
        <v>824</v>
      </c>
      <c r="G192" s="156" t="s">
        <v>148</v>
      </c>
    </row>
    <row r="193" spans="1:7" hidden="1" x14ac:dyDescent="0.25">
      <c r="A193" s="158">
        <v>3331</v>
      </c>
      <c r="B193" s="156" t="s">
        <v>181</v>
      </c>
      <c r="C193" s="156" t="s">
        <v>290</v>
      </c>
      <c r="D193" s="156" t="s">
        <v>21</v>
      </c>
      <c r="E193" s="156" t="s">
        <v>18</v>
      </c>
      <c r="F193" s="156" t="s">
        <v>825</v>
      </c>
      <c r="G193" s="156" t="s">
        <v>148</v>
      </c>
    </row>
    <row r="194" spans="1:7" hidden="1" x14ac:dyDescent="0.25">
      <c r="A194" s="158">
        <v>3374</v>
      </c>
      <c r="B194" s="156" t="s">
        <v>181</v>
      </c>
      <c r="C194" s="156" t="s">
        <v>290</v>
      </c>
      <c r="D194" s="156" t="s">
        <v>21</v>
      </c>
      <c r="E194" s="156" t="s">
        <v>19</v>
      </c>
      <c r="F194" s="156" t="s">
        <v>826</v>
      </c>
      <c r="G194" s="156" t="s">
        <v>148</v>
      </c>
    </row>
    <row r="195" spans="1:7" hidden="1" x14ac:dyDescent="0.25">
      <c r="A195" s="158">
        <v>3416</v>
      </c>
      <c r="B195" s="156" t="s">
        <v>181</v>
      </c>
      <c r="C195" s="156" t="s">
        <v>290</v>
      </c>
      <c r="D195" s="156" t="s">
        <v>21</v>
      </c>
      <c r="E195" s="156" t="s">
        <v>20</v>
      </c>
      <c r="F195" s="156" t="s">
        <v>827</v>
      </c>
      <c r="G195" s="156" t="s">
        <v>148</v>
      </c>
    </row>
    <row r="196" spans="1:7" hidden="1" x14ac:dyDescent="0.25">
      <c r="A196" s="158">
        <v>3458</v>
      </c>
      <c r="B196" s="156" t="s">
        <v>181</v>
      </c>
      <c r="C196" s="156" t="s">
        <v>290</v>
      </c>
      <c r="D196" s="156" t="s">
        <v>21</v>
      </c>
      <c r="E196" s="156" t="s">
        <v>189</v>
      </c>
      <c r="F196" s="156" t="s">
        <v>828</v>
      </c>
      <c r="G196" s="156" t="s">
        <v>148</v>
      </c>
    </row>
    <row r="197" spans="1:7" hidden="1" x14ac:dyDescent="0.25">
      <c r="A197" s="158">
        <v>3480</v>
      </c>
      <c r="B197" s="156" t="s">
        <v>181</v>
      </c>
      <c r="C197" s="156" t="s">
        <v>290</v>
      </c>
      <c r="D197" s="156" t="s">
        <v>21</v>
      </c>
      <c r="E197" s="156" t="s">
        <v>191</v>
      </c>
      <c r="F197" s="156" t="s">
        <v>829</v>
      </c>
      <c r="G197" s="156" t="s">
        <v>148</v>
      </c>
    </row>
    <row r="198" spans="1:7" hidden="1" x14ac:dyDescent="0.25">
      <c r="A198" s="158">
        <v>3502</v>
      </c>
      <c r="B198" s="156" t="s">
        <v>181</v>
      </c>
      <c r="C198" s="156" t="s">
        <v>290</v>
      </c>
      <c r="D198" s="156" t="s">
        <v>21</v>
      </c>
      <c r="E198" s="156" t="s">
        <v>14</v>
      </c>
      <c r="F198" s="156" t="s">
        <v>830</v>
      </c>
      <c r="G198" s="156" t="s">
        <v>148</v>
      </c>
    </row>
    <row r="199" spans="1:7" hidden="1" x14ac:dyDescent="0.25">
      <c r="A199" s="158">
        <v>3213</v>
      </c>
      <c r="B199" s="156" t="s">
        <v>181</v>
      </c>
      <c r="C199" s="156" t="s">
        <v>290</v>
      </c>
      <c r="D199" s="156" t="s">
        <v>203</v>
      </c>
      <c r="E199" s="156" t="s">
        <v>15</v>
      </c>
      <c r="F199" s="156" t="s">
        <v>807</v>
      </c>
      <c r="G199" s="156" t="s">
        <v>148</v>
      </c>
    </row>
    <row r="200" spans="1:7" hidden="1" x14ac:dyDescent="0.25">
      <c r="A200" s="158">
        <v>3221</v>
      </c>
      <c r="B200" s="156" t="s">
        <v>181</v>
      </c>
      <c r="C200" s="156" t="s">
        <v>290</v>
      </c>
      <c r="D200" s="156" t="s">
        <v>203</v>
      </c>
      <c r="E200" s="156" t="s">
        <v>293</v>
      </c>
      <c r="F200" s="156" t="s">
        <v>831</v>
      </c>
      <c r="G200" s="156" t="s">
        <v>148</v>
      </c>
    </row>
    <row r="201" spans="1:7" hidden="1" x14ac:dyDescent="0.25">
      <c r="A201" s="158">
        <v>3222</v>
      </c>
      <c r="B201" s="156" t="s">
        <v>181</v>
      </c>
      <c r="C201" s="156" t="s">
        <v>290</v>
      </c>
      <c r="D201" s="156" t="s">
        <v>203</v>
      </c>
      <c r="E201" s="156" t="s">
        <v>294</v>
      </c>
      <c r="F201" s="156" t="s">
        <v>832</v>
      </c>
      <c r="G201" s="156" t="s">
        <v>148</v>
      </c>
    </row>
    <row r="202" spans="1:7" hidden="1" x14ac:dyDescent="0.25">
      <c r="A202" s="158">
        <v>3256</v>
      </c>
      <c r="B202" s="156" t="s">
        <v>181</v>
      </c>
      <c r="C202" s="156" t="s">
        <v>290</v>
      </c>
      <c r="D202" s="156" t="s">
        <v>203</v>
      </c>
      <c r="E202" s="156" t="s">
        <v>16</v>
      </c>
      <c r="F202" s="156" t="s">
        <v>808</v>
      </c>
      <c r="G202" s="156" t="s">
        <v>148</v>
      </c>
    </row>
    <row r="203" spans="1:7" hidden="1" x14ac:dyDescent="0.25">
      <c r="A203" s="158">
        <v>3264</v>
      </c>
      <c r="B203" s="156" t="s">
        <v>181</v>
      </c>
      <c r="C203" s="156" t="s">
        <v>290</v>
      </c>
      <c r="D203" s="156" t="s">
        <v>203</v>
      </c>
      <c r="E203" s="156" t="s">
        <v>295</v>
      </c>
      <c r="F203" s="156" t="s">
        <v>833</v>
      </c>
      <c r="G203" s="156" t="s">
        <v>148</v>
      </c>
    </row>
    <row r="204" spans="1:7" hidden="1" x14ac:dyDescent="0.25">
      <c r="A204" s="158">
        <v>3265</v>
      </c>
      <c r="B204" s="156" t="s">
        <v>181</v>
      </c>
      <c r="C204" s="156" t="s">
        <v>290</v>
      </c>
      <c r="D204" s="156" t="s">
        <v>203</v>
      </c>
      <c r="E204" s="156" t="s">
        <v>296</v>
      </c>
      <c r="F204" s="156" t="s">
        <v>834</v>
      </c>
      <c r="G204" s="156" t="s">
        <v>148</v>
      </c>
    </row>
    <row r="205" spans="1:7" hidden="1" x14ac:dyDescent="0.25">
      <c r="A205" s="158">
        <v>3299</v>
      </c>
      <c r="B205" s="156" t="s">
        <v>181</v>
      </c>
      <c r="C205" s="156" t="s">
        <v>290</v>
      </c>
      <c r="D205" s="156" t="s">
        <v>203</v>
      </c>
      <c r="E205" s="156" t="s">
        <v>17</v>
      </c>
      <c r="F205" s="156" t="s">
        <v>809</v>
      </c>
      <c r="G205" s="156" t="s">
        <v>148</v>
      </c>
    </row>
    <row r="206" spans="1:7" hidden="1" x14ac:dyDescent="0.25">
      <c r="A206" s="158">
        <v>3307</v>
      </c>
      <c r="B206" s="156" t="s">
        <v>181</v>
      </c>
      <c r="C206" s="156" t="s">
        <v>290</v>
      </c>
      <c r="D206" s="156" t="s">
        <v>203</v>
      </c>
      <c r="E206" s="156" t="s">
        <v>297</v>
      </c>
      <c r="F206" s="156" t="s">
        <v>835</v>
      </c>
      <c r="G206" s="156" t="s">
        <v>148</v>
      </c>
    </row>
    <row r="207" spans="1:7" hidden="1" x14ac:dyDescent="0.25">
      <c r="A207" s="158">
        <v>3308</v>
      </c>
      <c r="B207" s="156" t="s">
        <v>181</v>
      </c>
      <c r="C207" s="156" t="s">
        <v>290</v>
      </c>
      <c r="D207" s="156" t="s">
        <v>203</v>
      </c>
      <c r="E207" s="156" t="s">
        <v>298</v>
      </c>
      <c r="F207" s="156" t="s">
        <v>836</v>
      </c>
      <c r="G207" s="156" t="s">
        <v>148</v>
      </c>
    </row>
    <row r="208" spans="1:7" hidden="1" x14ac:dyDescent="0.25">
      <c r="A208" s="158">
        <v>3342</v>
      </c>
      <c r="B208" s="156" t="s">
        <v>181</v>
      </c>
      <c r="C208" s="156" t="s">
        <v>290</v>
      </c>
      <c r="D208" s="156" t="s">
        <v>203</v>
      </c>
      <c r="E208" s="156" t="s">
        <v>18</v>
      </c>
      <c r="F208" s="156" t="s">
        <v>810</v>
      </c>
      <c r="G208" s="156" t="s">
        <v>148</v>
      </c>
    </row>
    <row r="209" spans="1:7" hidden="1" x14ac:dyDescent="0.25">
      <c r="A209" s="158">
        <v>3349</v>
      </c>
      <c r="B209" s="156" t="s">
        <v>181</v>
      </c>
      <c r="C209" s="156" t="s">
        <v>290</v>
      </c>
      <c r="D209" s="156" t="s">
        <v>203</v>
      </c>
      <c r="E209" s="156" t="s">
        <v>299</v>
      </c>
      <c r="F209" s="156" t="s">
        <v>837</v>
      </c>
      <c r="G209" s="156" t="s">
        <v>148</v>
      </c>
    </row>
    <row r="210" spans="1:7" hidden="1" x14ac:dyDescent="0.25">
      <c r="A210" s="158">
        <v>3350</v>
      </c>
      <c r="B210" s="156" t="s">
        <v>181</v>
      </c>
      <c r="C210" s="156" t="s">
        <v>290</v>
      </c>
      <c r="D210" s="156" t="s">
        <v>203</v>
      </c>
      <c r="E210" s="156" t="s">
        <v>300</v>
      </c>
      <c r="F210" s="156" t="s">
        <v>838</v>
      </c>
      <c r="G210" s="156" t="s">
        <v>148</v>
      </c>
    </row>
    <row r="211" spans="1:7" hidden="1" x14ac:dyDescent="0.25">
      <c r="A211" s="158">
        <v>3385</v>
      </c>
      <c r="B211" s="156" t="s">
        <v>181</v>
      </c>
      <c r="C211" s="156" t="s">
        <v>290</v>
      </c>
      <c r="D211" s="156" t="s">
        <v>203</v>
      </c>
      <c r="E211" s="156" t="s">
        <v>19</v>
      </c>
      <c r="F211" s="156" t="s">
        <v>811</v>
      </c>
      <c r="G211" s="156" t="s">
        <v>148</v>
      </c>
    </row>
    <row r="212" spans="1:7" hidden="1" x14ac:dyDescent="0.25">
      <c r="A212" s="158">
        <v>3392</v>
      </c>
      <c r="B212" s="156" t="s">
        <v>181</v>
      </c>
      <c r="C212" s="156" t="s">
        <v>290</v>
      </c>
      <c r="D212" s="156" t="s">
        <v>203</v>
      </c>
      <c r="E212" s="156" t="s">
        <v>301</v>
      </c>
      <c r="F212" s="156" t="s">
        <v>839</v>
      </c>
      <c r="G212" s="156" t="s">
        <v>148</v>
      </c>
    </row>
    <row r="213" spans="1:7" hidden="1" x14ac:dyDescent="0.25">
      <c r="A213" s="158">
        <v>3393</v>
      </c>
      <c r="B213" s="156" t="s">
        <v>181</v>
      </c>
      <c r="C213" s="156" t="s">
        <v>290</v>
      </c>
      <c r="D213" s="156" t="s">
        <v>203</v>
      </c>
      <c r="E213" s="156" t="s">
        <v>302</v>
      </c>
      <c r="F213" s="156" t="s">
        <v>840</v>
      </c>
      <c r="G213" s="156" t="s">
        <v>148</v>
      </c>
    </row>
    <row r="214" spans="1:7" hidden="1" x14ac:dyDescent="0.25">
      <c r="A214" s="158">
        <v>3427</v>
      </c>
      <c r="B214" s="156" t="s">
        <v>181</v>
      </c>
      <c r="C214" s="156" t="s">
        <v>290</v>
      </c>
      <c r="D214" s="156" t="s">
        <v>203</v>
      </c>
      <c r="E214" s="156" t="s">
        <v>20</v>
      </c>
      <c r="F214" s="156" t="s">
        <v>812</v>
      </c>
      <c r="G214" s="156" t="s">
        <v>148</v>
      </c>
    </row>
    <row r="215" spans="1:7" hidden="1" x14ac:dyDescent="0.25">
      <c r="A215" s="158">
        <v>3434</v>
      </c>
      <c r="B215" s="156" t="s">
        <v>181</v>
      </c>
      <c r="C215" s="156" t="s">
        <v>290</v>
      </c>
      <c r="D215" s="156" t="s">
        <v>203</v>
      </c>
      <c r="E215" s="156" t="s">
        <v>303</v>
      </c>
      <c r="F215" s="156" t="s">
        <v>841</v>
      </c>
      <c r="G215" s="156" t="s">
        <v>148</v>
      </c>
    </row>
    <row r="216" spans="1:7" hidden="1" x14ac:dyDescent="0.25">
      <c r="A216" s="158">
        <v>3435</v>
      </c>
      <c r="B216" s="156" t="s">
        <v>181</v>
      </c>
      <c r="C216" s="156" t="s">
        <v>290</v>
      </c>
      <c r="D216" s="156" t="s">
        <v>203</v>
      </c>
      <c r="E216" s="156" t="s">
        <v>304</v>
      </c>
      <c r="F216" s="156" t="s">
        <v>842</v>
      </c>
      <c r="G216" s="156" t="s">
        <v>148</v>
      </c>
    </row>
    <row r="217" spans="1:7" hidden="1" x14ac:dyDescent="0.25">
      <c r="A217" s="158">
        <v>3515</v>
      </c>
      <c r="B217" s="156" t="s">
        <v>181</v>
      </c>
      <c r="C217" s="156" t="s">
        <v>305</v>
      </c>
      <c r="D217" s="156" t="s">
        <v>22</v>
      </c>
      <c r="E217" s="156" t="s">
        <v>15</v>
      </c>
      <c r="F217" s="156" t="s">
        <v>896</v>
      </c>
      <c r="G217" s="156" t="s">
        <v>148</v>
      </c>
    </row>
    <row r="218" spans="1:7" hidden="1" x14ac:dyDescent="0.25">
      <c r="A218" s="158">
        <v>3525</v>
      </c>
      <c r="B218" s="156" t="s">
        <v>181</v>
      </c>
      <c r="C218" s="156" t="s">
        <v>305</v>
      </c>
      <c r="D218" s="156" t="s">
        <v>22</v>
      </c>
      <c r="E218" s="156" t="s">
        <v>16</v>
      </c>
      <c r="F218" s="156" t="s">
        <v>897</v>
      </c>
      <c r="G218" s="156" t="s">
        <v>148</v>
      </c>
    </row>
    <row r="219" spans="1:7" hidden="1" x14ac:dyDescent="0.25">
      <c r="A219" s="158">
        <v>3535</v>
      </c>
      <c r="B219" s="156" t="s">
        <v>181</v>
      </c>
      <c r="C219" s="156" t="s">
        <v>305</v>
      </c>
      <c r="D219" s="156" t="s">
        <v>22</v>
      </c>
      <c r="E219" s="156" t="s">
        <v>17</v>
      </c>
      <c r="F219" s="156" t="s">
        <v>898</v>
      </c>
      <c r="G219" s="156" t="s">
        <v>148</v>
      </c>
    </row>
    <row r="220" spans="1:7" hidden="1" x14ac:dyDescent="0.25">
      <c r="A220" s="158">
        <v>3545</v>
      </c>
      <c r="B220" s="156" t="s">
        <v>181</v>
      </c>
      <c r="C220" s="156" t="s">
        <v>305</v>
      </c>
      <c r="D220" s="156" t="s">
        <v>22</v>
      </c>
      <c r="E220" s="156" t="s">
        <v>18</v>
      </c>
      <c r="F220" s="156" t="s">
        <v>899</v>
      </c>
      <c r="G220" s="156" t="s">
        <v>148</v>
      </c>
    </row>
    <row r="221" spans="1:7" hidden="1" x14ac:dyDescent="0.25">
      <c r="A221" s="158">
        <v>3555</v>
      </c>
      <c r="B221" s="156" t="s">
        <v>181</v>
      </c>
      <c r="C221" s="156" t="s">
        <v>305</v>
      </c>
      <c r="D221" s="156" t="s">
        <v>22</v>
      </c>
      <c r="E221" s="156" t="s">
        <v>19</v>
      </c>
      <c r="F221" s="156" t="s">
        <v>900</v>
      </c>
      <c r="G221" s="156" t="s">
        <v>148</v>
      </c>
    </row>
    <row r="222" spans="1:7" hidden="1" x14ac:dyDescent="0.25">
      <c r="A222" s="158">
        <v>3565</v>
      </c>
      <c r="B222" s="156" t="s">
        <v>181</v>
      </c>
      <c r="C222" s="156" t="s">
        <v>305</v>
      </c>
      <c r="D222" s="156" t="s">
        <v>22</v>
      </c>
      <c r="E222" s="156" t="s">
        <v>20</v>
      </c>
      <c r="F222" s="156" t="s">
        <v>901</v>
      </c>
      <c r="G222" s="156" t="s">
        <v>148</v>
      </c>
    </row>
    <row r="223" spans="1:7" hidden="1" x14ac:dyDescent="0.25">
      <c r="A223" s="158">
        <v>3192</v>
      </c>
      <c r="B223" s="156" t="s">
        <v>181</v>
      </c>
      <c r="C223" s="156" t="s">
        <v>305</v>
      </c>
      <c r="D223" s="156" t="s">
        <v>14</v>
      </c>
      <c r="E223" s="156" t="s">
        <v>15</v>
      </c>
      <c r="F223" s="156" t="s">
        <v>902</v>
      </c>
      <c r="G223" s="156" t="s">
        <v>148</v>
      </c>
    </row>
    <row r="224" spans="1:7" hidden="1" x14ac:dyDescent="0.25">
      <c r="A224" s="158">
        <v>3235</v>
      </c>
      <c r="B224" s="156" t="s">
        <v>181</v>
      </c>
      <c r="C224" s="156" t="s">
        <v>305</v>
      </c>
      <c r="D224" s="156" t="s">
        <v>14</v>
      </c>
      <c r="E224" s="156" t="s">
        <v>16</v>
      </c>
      <c r="F224" s="156" t="s">
        <v>903</v>
      </c>
      <c r="G224" s="156" t="s">
        <v>148</v>
      </c>
    </row>
    <row r="225" spans="1:7" hidden="1" x14ac:dyDescent="0.25">
      <c r="A225" s="158">
        <v>3278</v>
      </c>
      <c r="B225" s="156" t="s">
        <v>181</v>
      </c>
      <c r="C225" s="156" t="s">
        <v>305</v>
      </c>
      <c r="D225" s="156" t="s">
        <v>14</v>
      </c>
      <c r="E225" s="156" t="s">
        <v>17</v>
      </c>
      <c r="F225" s="156" t="s">
        <v>904</v>
      </c>
      <c r="G225" s="156" t="s">
        <v>148</v>
      </c>
    </row>
    <row r="226" spans="1:7" hidden="1" x14ac:dyDescent="0.25">
      <c r="A226" s="158">
        <v>3321</v>
      </c>
      <c r="B226" s="156" t="s">
        <v>181</v>
      </c>
      <c r="C226" s="156" t="s">
        <v>305</v>
      </c>
      <c r="D226" s="156" t="s">
        <v>14</v>
      </c>
      <c r="E226" s="156" t="s">
        <v>18</v>
      </c>
      <c r="F226" s="156" t="s">
        <v>852</v>
      </c>
      <c r="G226" s="156" t="s">
        <v>148</v>
      </c>
    </row>
    <row r="227" spans="1:7" hidden="1" x14ac:dyDescent="0.25">
      <c r="A227" s="158">
        <v>3364</v>
      </c>
      <c r="B227" s="156" t="s">
        <v>181</v>
      </c>
      <c r="C227" s="156" t="s">
        <v>305</v>
      </c>
      <c r="D227" s="156" t="s">
        <v>14</v>
      </c>
      <c r="E227" s="156" t="s">
        <v>19</v>
      </c>
      <c r="F227" s="156" t="s">
        <v>853</v>
      </c>
      <c r="G227" s="156" t="s">
        <v>148</v>
      </c>
    </row>
    <row r="228" spans="1:7" hidden="1" x14ac:dyDescent="0.25">
      <c r="A228" s="158">
        <v>3406</v>
      </c>
      <c r="B228" s="156" t="s">
        <v>181</v>
      </c>
      <c r="C228" s="156" t="s">
        <v>305</v>
      </c>
      <c r="D228" s="156" t="s">
        <v>14</v>
      </c>
      <c r="E228" s="156" t="s">
        <v>20</v>
      </c>
      <c r="F228" s="156" t="s">
        <v>905</v>
      </c>
      <c r="G228" s="156" t="s">
        <v>148</v>
      </c>
    </row>
    <row r="229" spans="1:7" hidden="1" x14ac:dyDescent="0.25">
      <c r="A229" s="158">
        <v>3448</v>
      </c>
      <c r="B229" s="156" t="s">
        <v>181</v>
      </c>
      <c r="C229" s="156" t="s">
        <v>305</v>
      </c>
      <c r="D229" s="156" t="s">
        <v>14</v>
      </c>
      <c r="E229" s="156" t="s">
        <v>189</v>
      </c>
      <c r="F229" s="156" t="s">
        <v>906</v>
      </c>
      <c r="G229" s="156" t="s">
        <v>148</v>
      </c>
    </row>
    <row r="230" spans="1:7" hidden="1" x14ac:dyDescent="0.25">
      <c r="A230" s="158">
        <v>3470</v>
      </c>
      <c r="B230" s="156" t="s">
        <v>181</v>
      </c>
      <c r="C230" s="156" t="s">
        <v>305</v>
      </c>
      <c r="D230" s="156" t="s">
        <v>14</v>
      </c>
      <c r="E230" s="156" t="s">
        <v>191</v>
      </c>
      <c r="F230" s="156" t="s">
        <v>907</v>
      </c>
      <c r="G230" s="156" t="s">
        <v>148</v>
      </c>
    </row>
    <row r="231" spans="1:7" hidden="1" x14ac:dyDescent="0.25">
      <c r="A231" s="158">
        <v>3492</v>
      </c>
      <c r="B231" s="156" t="s">
        <v>181</v>
      </c>
      <c r="C231" s="156" t="s">
        <v>305</v>
      </c>
      <c r="D231" s="156" t="s">
        <v>14</v>
      </c>
      <c r="E231" s="156" t="s">
        <v>14</v>
      </c>
      <c r="F231" s="156" t="s">
        <v>908</v>
      </c>
      <c r="G231" s="156" t="s">
        <v>148</v>
      </c>
    </row>
    <row r="232" spans="1:7" hidden="1" x14ac:dyDescent="0.25">
      <c r="A232" s="158">
        <v>3203</v>
      </c>
      <c r="B232" s="156" t="s">
        <v>181</v>
      </c>
      <c r="C232" s="156" t="s">
        <v>305</v>
      </c>
      <c r="D232" s="156" t="s">
        <v>21</v>
      </c>
      <c r="E232" s="156" t="s">
        <v>15</v>
      </c>
      <c r="F232" s="156" t="s">
        <v>909</v>
      </c>
      <c r="G232" s="156" t="s">
        <v>148</v>
      </c>
    </row>
    <row r="233" spans="1:7" hidden="1" x14ac:dyDescent="0.25">
      <c r="A233" s="158">
        <v>3246</v>
      </c>
      <c r="B233" s="156" t="s">
        <v>181</v>
      </c>
      <c r="C233" s="156" t="s">
        <v>305</v>
      </c>
      <c r="D233" s="156" t="s">
        <v>21</v>
      </c>
      <c r="E233" s="156" t="s">
        <v>16</v>
      </c>
      <c r="F233" s="156" t="s">
        <v>910</v>
      </c>
      <c r="G233" s="156" t="s">
        <v>148</v>
      </c>
    </row>
    <row r="234" spans="1:7" hidden="1" x14ac:dyDescent="0.25">
      <c r="A234" s="158">
        <v>3289</v>
      </c>
      <c r="B234" s="156" t="s">
        <v>181</v>
      </c>
      <c r="C234" s="156" t="s">
        <v>305</v>
      </c>
      <c r="D234" s="156" t="s">
        <v>21</v>
      </c>
      <c r="E234" s="156" t="s">
        <v>17</v>
      </c>
      <c r="F234" s="156" t="s">
        <v>911</v>
      </c>
      <c r="G234" s="156" t="s">
        <v>148</v>
      </c>
    </row>
    <row r="235" spans="1:7" hidden="1" x14ac:dyDescent="0.25">
      <c r="A235" s="158">
        <v>3332</v>
      </c>
      <c r="B235" s="156" t="s">
        <v>181</v>
      </c>
      <c r="C235" s="156" t="s">
        <v>305</v>
      </c>
      <c r="D235" s="156" t="s">
        <v>21</v>
      </c>
      <c r="E235" s="156" t="s">
        <v>18</v>
      </c>
      <c r="F235" s="156" t="s">
        <v>912</v>
      </c>
      <c r="G235" s="156" t="s">
        <v>148</v>
      </c>
    </row>
    <row r="236" spans="1:7" hidden="1" x14ac:dyDescent="0.25">
      <c r="A236" s="158">
        <v>3375</v>
      </c>
      <c r="B236" s="156" t="s">
        <v>181</v>
      </c>
      <c r="C236" s="156" t="s">
        <v>305</v>
      </c>
      <c r="D236" s="156" t="s">
        <v>21</v>
      </c>
      <c r="E236" s="156" t="s">
        <v>19</v>
      </c>
      <c r="F236" s="156" t="s">
        <v>913</v>
      </c>
      <c r="G236" s="156" t="s">
        <v>148</v>
      </c>
    </row>
    <row r="237" spans="1:7" hidden="1" x14ac:dyDescent="0.25">
      <c r="A237" s="158">
        <v>3417</v>
      </c>
      <c r="B237" s="156" t="s">
        <v>181</v>
      </c>
      <c r="C237" s="156" t="s">
        <v>305</v>
      </c>
      <c r="D237" s="156" t="s">
        <v>21</v>
      </c>
      <c r="E237" s="156" t="s">
        <v>20</v>
      </c>
      <c r="F237" s="156" t="s">
        <v>914</v>
      </c>
      <c r="G237" s="156" t="s">
        <v>148</v>
      </c>
    </row>
    <row r="238" spans="1:7" hidden="1" x14ac:dyDescent="0.25">
      <c r="A238" s="158">
        <v>3459</v>
      </c>
      <c r="B238" s="156" t="s">
        <v>181</v>
      </c>
      <c r="C238" s="156" t="s">
        <v>305</v>
      </c>
      <c r="D238" s="156" t="s">
        <v>21</v>
      </c>
      <c r="E238" s="156" t="s">
        <v>189</v>
      </c>
      <c r="F238" s="156" t="s">
        <v>915</v>
      </c>
      <c r="G238" s="156" t="s">
        <v>148</v>
      </c>
    </row>
    <row r="239" spans="1:7" hidden="1" x14ac:dyDescent="0.25">
      <c r="A239" s="158">
        <v>3481</v>
      </c>
      <c r="B239" s="156" t="s">
        <v>181</v>
      </c>
      <c r="C239" s="156" t="s">
        <v>305</v>
      </c>
      <c r="D239" s="156" t="s">
        <v>21</v>
      </c>
      <c r="E239" s="156" t="s">
        <v>191</v>
      </c>
      <c r="F239" s="156" t="s">
        <v>916</v>
      </c>
      <c r="G239" s="156" t="s">
        <v>148</v>
      </c>
    </row>
    <row r="240" spans="1:7" hidden="1" x14ac:dyDescent="0.25">
      <c r="A240" s="158">
        <v>3503</v>
      </c>
      <c r="B240" s="156" t="s">
        <v>181</v>
      </c>
      <c r="C240" s="156" t="s">
        <v>305</v>
      </c>
      <c r="D240" s="156" t="s">
        <v>21</v>
      </c>
      <c r="E240" s="156" t="s">
        <v>14</v>
      </c>
      <c r="F240" s="156" t="s">
        <v>917</v>
      </c>
      <c r="G240" s="156" t="s">
        <v>148</v>
      </c>
    </row>
    <row r="241" spans="1:7" hidden="1" x14ac:dyDescent="0.25">
      <c r="A241" s="158">
        <v>3214</v>
      </c>
      <c r="B241" s="156" t="s">
        <v>181</v>
      </c>
      <c r="C241" s="156" t="s">
        <v>305</v>
      </c>
      <c r="D241" s="156" t="s">
        <v>203</v>
      </c>
      <c r="E241" s="156" t="s">
        <v>15</v>
      </c>
      <c r="F241" s="156" t="s">
        <v>896</v>
      </c>
      <c r="G241" s="156" t="s">
        <v>148</v>
      </c>
    </row>
    <row r="242" spans="1:7" hidden="1" x14ac:dyDescent="0.25">
      <c r="A242" s="158">
        <v>3228</v>
      </c>
      <c r="B242" s="156" t="s">
        <v>181</v>
      </c>
      <c r="C242" s="156" t="s">
        <v>305</v>
      </c>
      <c r="D242" s="156" t="s">
        <v>203</v>
      </c>
      <c r="E242" s="156" t="s">
        <v>207</v>
      </c>
      <c r="F242" s="156" t="s">
        <v>864</v>
      </c>
      <c r="G242" s="156" t="s">
        <v>148</v>
      </c>
    </row>
    <row r="243" spans="1:7" hidden="1" x14ac:dyDescent="0.25">
      <c r="A243" s="158">
        <v>3257</v>
      </c>
      <c r="B243" s="156" t="s">
        <v>181</v>
      </c>
      <c r="C243" s="156" t="s">
        <v>305</v>
      </c>
      <c r="D243" s="156" t="s">
        <v>203</v>
      </c>
      <c r="E243" s="156" t="s">
        <v>16</v>
      </c>
      <c r="F243" s="156" t="s">
        <v>897</v>
      </c>
      <c r="G243" s="156" t="s">
        <v>148</v>
      </c>
    </row>
    <row r="244" spans="1:7" hidden="1" x14ac:dyDescent="0.25">
      <c r="A244" s="158">
        <v>3271</v>
      </c>
      <c r="B244" s="156" t="s">
        <v>181</v>
      </c>
      <c r="C244" s="156" t="s">
        <v>305</v>
      </c>
      <c r="D244" s="156" t="s">
        <v>203</v>
      </c>
      <c r="E244" s="156" t="s">
        <v>212</v>
      </c>
      <c r="F244" s="156" t="s">
        <v>865</v>
      </c>
      <c r="G244" s="156" t="s">
        <v>148</v>
      </c>
    </row>
    <row r="245" spans="1:7" hidden="1" x14ac:dyDescent="0.25">
      <c r="A245" s="158">
        <v>3300</v>
      </c>
      <c r="B245" s="156" t="s">
        <v>181</v>
      </c>
      <c r="C245" s="156" t="s">
        <v>305</v>
      </c>
      <c r="D245" s="156" t="s">
        <v>203</v>
      </c>
      <c r="E245" s="156" t="s">
        <v>17</v>
      </c>
      <c r="F245" s="156" t="s">
        <v>898</v>
      </c>
      <c r="G245" s="156" t="s">
        <v>148</v>
      </c>
    </row>
    <row r="246" spans="1:7" hidden="1" x14ac:dyDescent="0.25">
      <c r="A246" s="158">
        <v>3314</v>
      </c>
      <c r="B246" s="156" t="s">
        <v>181</v>
      </c>
      <c r="C246" s="156" t="s">
        <v>305</v>
      </c>
      <c r="D246" s="156" t="s">
        <v>203</v>
      </c>
      <c r="E246" s="156" t="s">
        <v>217</v>
      </c>
      <c r="F246" s="156" t="s">
        <v>866</v>
      </c>
      <c r="G246" s="156" t="s">
        <v>148</v>
      </c>
    </row>
    <row r="247" spans="1:7" hidden="1" x14ac:dyDescent="0.25">
      <c r="A247" s="158">
        <v>3343</v>
      </c>
      <c r="B247" s="156" t="s">
        <v>181</v>
      </c>
      <c r="C247" s="156" t="s">
        <v>305</v>
      </c>
      <c r="D247" s="156" t="s">
        <v>203</v>
      </c>
      <c r="E247" s="156" t="s">
        <v>18</v>
      </c>
      <c r="F247" s="156" t="s">
        <v>899</v>
      </c>
      <c r="G247" s="156" t="s">
        <v>148</v>
      </c>
    </row>
    <row r="248" spans="1:7" hidden="1" x14ac:dyDescent="0.25">
      <c r="A248" s="158">
        <v>3357</v>
      </c>
      <c r="B248" s="156" t="s">
        <v>181</v>
      </c>
      <c r="C248" s="156" t="s">
        <v>305</v>
      </c>
      <c r="D248" s="156" t="s">
        <v>203</v>
      </c>
      <c r="E248" s="156" t="s">
        <v>222</v>
      </c>
      <c r="F248" s="156" t="s">
        <v>867</v>
      </c>
      <c r="G248" s="156" t="s">
        <v>148</v>
      </c>
    </row>
    <row r="249" spans="1:7" hidden="1" x14ac:dyDescent="0.25">
      <c r="A249" s="158">
        <v>3386</v>
      </c>
      <c r="B249" s="156" t="s">
        <v>181</v>
      </c>
      <c r="C249" s="156" t="s">
        <v>305</v>
      </c>
      <c r="D249" s="156" t="s">
        <v>203</v>
      </c>
      <c r="E249" s="156" t="s">
        <v>19</v>
      </c>
      <c r="F249" s="156" t="s">
        <v>900</v>
      </c>
      <c r="G249" s="156" t="s">
        <v>148</v>
      </c>
    </row>
    <row r="250" spans="1:7" hidden="1" x14ac:dyDescent="0.25">
      <c r="A250" s="158">
        <v>3399</v>
      </c>
      <c r="B250" s="156" t="s">
        <v>181</v>
      </c>
      <c r="C250" s="156" t="s">
        <v>305</v>
      </c>
      <c r="D250" s="156" t="s">
        <v>203</v>
      </c>
      <c r="E250" s="156" t="s">
        <v>227</v>
      </c>
      <c r="F250" s="156" t="s">
        <v>868</v>
      </c>
      <c r="G250" s="156" t="s">
        <v>148</v>
      </c>
    </row>
    <row r="251" spans="1:7" hidden="1" x14ac:dyDescent="0.25">
      <c r="A251" s="158">
        <v>3428</v>
      </c>
      <c r="B251" s="156" t="s">
        <v>181</v>
      </c>
      <c r="C251" s="156" t="s">
        <v>305</v>
      </c>
      <c r="D251" s="156" t="s">
        <v>203</v>
      </c>
      <c r="E251" s="156" t="s">
        <v>20</v>
      </c>
      <c r="F251" s="156" t="s">
        <v>901</v>
      </c>
      <c r="G251" s="156" t="s">
        <v>148</v>
      </c>
    </row>
    <row r="252" spans="1:7" hidden="1" x14ac:dyDescent="0.25">
      <c r="A252" s="158">
        <v>3441</v>
      </c>
      <c r="B252" s="156" t="s">
        <v>181</v>
      </c>
      <c r="C252" s="156" t="s">
        <v>305</v>
      </c>
      <c r="D252" s="156" t="s">
        <v>203</v>
      </c>
      <c r="E252" s="156" t="s">
        <v>232</v>
      </c>
      <c r="F252" s="156" t="s">
        <v>869</v>
      </c>
      <c r="G252" s="156" t="s">
        <v>148</v>
      </c>
    </row>
    <row r="253" spans="1:7" hidden="1" x14ac:dyDescent="0.25">
      <c r="A253" s="158">
        <v>3516</v>
      </c>
      <c r="B253" s="156" t="s">
        <v>181</v>
      </c>
      <c r="C253" s="156" t="s">
        <v>328</v>
      </c>
      <c r="D253" s="156" t="s">
        <v>22</v>
      </c>
      <c r="E253" s="156" t="s">
        <v>15</v>
      </c>
      <c r="F253" s="156" t="s">
        <v>918</v>
      </c>
      <c r="G253" s="156" t="s">
        <v>148</v>
      </c>
    </row>
    <row r="254" spans="1:7" hidden="1" x14ac:dyDescent="0.25">
      <c r="A254" s="158">
        <v>3526</v>
      </c>
      <c r="B254" s="156" t="s">
        <v>181</v>
      </c>
      <c r="C254" s="156" t="s">
        <v>328</v>
      </c>
      <c r="D254" s="156" t="s">
        <v>22</v>
      </c>
      <c r="E254" s="156" t="s">
        <v>16</v>
      </c>
      <c r="F254" s="156" t="s">
        <v>919</v>
      </c>
      <c r="G254" s="156" t="s">
        <v>148</v>
      </c>
    </row>
    <row r="255" spans="1:7" hidden="1" x14ac:dyDescent="0.25">
      <c r="A255" s="158">
        <v>3536</v>
      </c>
      <c r="B255" s="156" t="s">
        <v>181</v>
      </c>
      <c r="C255" s="156" t="s">
        <v>328</v>
      </c>
      <c r="D255" s="156" t="s">
        <v>22</v>
      </c>
      <c r="E255" s="156" t="s">
        <v>17</v>
      </c>
      <c r="F255" s="156" t="s">
        <v>920</v>
      </c>
      <c r="G255" s="156" t="s">
        <v>148</v>
      </c>
    </row>
    <row r="256" spans="1:7" hidden="1" x14ac:dyDescent="0.25">
      <c r="A256" s="158">
        <v>3546</v>
      </c>
      <c r="B256" s="156" t="s">
        <v>181</v>
      </c>
      <c r="C256" s="156" t="s">
        <v>328</v>
      </c>
      <c r="D256" s="156" t="s">
        <v>22</v>
      </c>
      <c r="E256" s="156" t="s">
        <v>18</v>
      </c>
      <c r="F256" s="156" t="s">
        <v>921</v>
      </c>
      <c r="G256" s="156" t="s">
        <v>148</v>
      </c>
    </row>
    <row r="257" spans="1:7" hidden="1" x14ac:dyDescent="0.25">
      <c r="A257" s="158">
        <v>3556</v>
      </c>
      <c r="B257" s="156" t="s">
        <v>181</v>
      </c>
      <c r="C257" s="156" t="s">
        <v>328</v>
      </c>
      <c r="D257" s="156" t="s">
        <v>22</v>
      </c>
      <c r="E257" s="156" t="s">
        <v>19</v>
      </c>
      <c r="F257" s="156" t="s">
        <v>922</v>
      </c>
      <c r="G257" s="156" t="s">
        <v>148</v>
      </c>
    </row>
    <row r="258" spans="1:7" hidden="1" x14ac:dyDescent="0.25">
      <c r="A258" s="158">
        <v>3566</v>
      </c>
      <c r="B258" s="156" t="s">
        <v>181</v>
      </c>
      <c r="C258" s="156" t="s">
        <v>328</v>
      </c>
      <c r="D258" s="156" t="s">
        <v>22</v>
      </c>
      <c r="E258" s="156" t="s">
        <v>20</v>
      </c>
      <c r="F258" s="156" t="s">
        <v>923</v>
      </c>
      <c r="G258" s="156" t="s">
        <v>148</v>
      </c>
    </row>
    <row r="259" spans="1:7" hidden="1" x14ac:dyDescent="0.25">
      <c r="A259" s="158">
        <v>3193</v>
      </c>
      <c r="B259" s="156" t="s">
        <v>181</v>
      </c>
      <c r="C259" s="156" t="s">
        <v>328</v>
      </c>
      <c r="D259" s="156" t="s">
        <v>14</v>
      </c>
      <c r="E259" s="156" t="s">
        <v>15</v>
      </c>
      <c r="F259" s="156" t="s">
        <v>924</v>
      </c>
      <c r="G259" s="156" t="s">
        <v>148</v>
      </c>
    </row>
    <row r="260" spans="1:7" hidden="1" x14ac:dyDescent="0.25">
      <c r="A260" s="158">
        <v>3236</v>
      </c>
      <c r="B260" s="156" t="s">
        <v>181</v>
      </c>
      <c r="C260" s="156" t="s">
        <v>328</v>
      </c>
      <c r="D260" s="156" t="s">
        <v>14</v>
      </c>
      <c r="E260" s="156" t="s">
        <v>16</v>
      </c>
      <c r="F260" s="156" t="s">
        <v>925</v>
      </c>
      <c r="G260" s="156" t="s">
        <v>148</v>
      </c>
    </row>
    <row r="261" spans="1:7" hidden="1" x14ac:dyDescent="0.25">
      <c r="A261" s="158">
        <v>3279</v>
      </c>
      <c r="B261" s="156" t="s">
        <v>181</v>
      </c>
      <c r="C261" s="156" t="s">
        <v>328</v>
      </c>
      <c r="D261" s="156" t="s">
        <v>14</v>
      </c>
      <c r="E261" s="156" t="s">
        <v>17</v>
      </c>
      <c r="F261" s="156" t="s">
        <v>926</v>
      </c>
      <c r="G261" s="156" t="s">
        <v>148</v>
      </c>
    </row>
    <row r="262" spans="1:7" hidden="1" x14ac:dyDescent="0.25">
      <c r="A262" s="158">
        <v>3322</v>
      </c>
      <c r="B262" s="156" t="s">
        <v>181</v>
      </c>
      <c r="C262" s="156" t="s">
        <v>328</v>
      </c>
      <c r="D262" s="156" t="s">
        <v>14</v>
      </c>
      <c r="E262" s="156" t="s">
        <v>18</v>
      </c>
      <c r="F262" s="156" t="s">
        <v>927</v>
      </c>
      <c r="G262" s="156" t="s">
        <v>148</v>
      </c>
    </row>
    <row r="263" spans="1:7" hidden="1" x14ac:dyDescent="0.25">
      <c r="A263" s="158">
        <v>3365</v>
      </c>
      <c r="B263" s="156" t="s">
        <v>181</v>
      </c>
      <c r="C263" s="156" t="s">
        <v>328</v>
      </c>
      <c r="D263" s="156" t="s">
        <v>14</v>
      </c>
      <c r="E263" s="156" t="s">
        <v>19</v>
      </c>
      <c r="F263" s="156" t="s">
        <v>928</v>
      </c>
      <c r="G263" s="156" t="s">
        <v>148</v>
      </c>
    </row>
    <row r="264" spans="1:7" hidden="1" x14ac:dyDescent="0.25">
      <c r="A264" s="158">
        <v>3407</v>
      </c>
      <c r="B264" s="156" t="s">
        <v>181</v>
      </c>
      <c r="C264" s="156" t="s">
        <v>328</v>
      </c>
      <c r="D264" s="156" t="s">
        <v>14</v>
      </c>
      <c r="E264" s="156" t="s">
        <v>20</v>
      </c>
      <c r="F264" s="156" t="s">
        <v>929</v>
      </c>
      <c r="G264" s="156" t="s">
        <v>148</v>
      </c>
    </row>
    <row r="265" spans="1:7" hidden="1" x14ac:dyDescent="0.25">
      <c r="A265" s="158">
        <v>3449</v>
      </c>
      <c r="B265" s="156" t="s">
        <v>181</v>
      </c>
      <c r="C265" s="156" t="s">
        <v>328</v>
      </c>
      <c r="D265" s="156" t="s">
        <v>14</v>
      </c>
      <c r="E265" s="156" t="s">
        <v>189</v>
      </c>
      <c r="F265" s="156" t="s">
        <v>930</v>
      </c>
      <c r="G265" s="156" t="s">
        <v>148</v>
      </c>
    </row>
    <row r="266" spans="1:7" hidden="1" x14ac:dyDescent="0.25">
      <c r="A266" s="158">
        <v>3471</v>
      </c>
      <c r="B266" s="156" t="s">
        <v>181</v>
      </c>
      <c r="C266" s="156" t="s">
        <v>328</v>
      </c>
      <c r="D266" s="156" t="s">
        <v>14</v>
      </c>
      <c r="E266" s="156" t="s">
        <v>191</v>
      </c>
      <c r="F266" s="156" t="s">
        <v>931</v>
      </c>
      <c r="G266" s="156" t="s">
        <v>148</v>
      </c>
    </row>
    <row r="267" spans="1:7" hidden="1" x14ac:dyDescent="0.25">
      <c r="A267" s="158">
        <v>3493</v>
      </c>
      <c r="B267" s="156" t="s">
        <v>181</v>
      </c>
      <c r="C267" s="156" t="s">
        <v>328</v>
      </c>
      <c r="D267" s="156" t="s">
        <v>14</v>
      </c>
      <c r="E267" s="156" t="s">
        <v>14</v>
      </c>
      <c r="F267" s="156" t="s">
        <v>932</v>
      </c>
      <c r="G267" s="156" t="s">
        <v>148</v>
      </c>
    </row>
    <row r="268" spans="1:7" hidden="1" x14ac:dyDescent="0.25">
      <c r="A268" s="158">
        <v>3204</v>
      </c>
      <c r="B268" s="156" t="s">
        <v>181</v>
      </c>
      <c r="C268" s="156" t="s">
        <v>328</v>
      </c>
      <c r="D268" s="156" t="s">
        <v>21</v>
      </c>
      <c r="E268" s="156" t="s">
        <v>15</v>
      </c>
      <c r="F268" s="156" t="s">
        <v>933</v>
      </c>
      <c r="G268" s="156" t="s">
        <v>148</v>
      </c>
    </row>
    <row r="269" spans="1:7" hidden="1" x14ac:dyDescent="0.25">
      <c r="A269" s="158">
        <v>3247</v>
      </c>
      <c r="B269" s="156" t="s">
        <v>181</v>
      </c>
      <c r="C269" s="156" t="s">
        <v>328</v>
      </c>
      <c r="D269" s="156" t="s">
        <v>21</v>
      </c>
      <c r="E269" s="156" t="s">
        <v>16</v>
      </c>
      <c r="F269" s="156" t="s">
        <v>934</v>
      </c>
      <c r="G269" s="156" t="s">
        <v>148</v>
      </c>
    </row>
    <row r="270" spans="1:7" hidden="1" x14ac:dyDescent="0.25">
      <c r="A270" s="158">
        <v>3290</v>
      </c>
      <c r="B270" s="156" t="s">
        <v>181</v>
      </c>
      <c r="C270" s="156" t="s">
        <v>328</v>
      </c>
      <c r="D270" s="156" t="s">
        <v>21</v>
      </c>
      <c r="E270" s="156" t="s">
        <v>17</v>
      </c>
      <c r="F270" s="156" t="s">
        <v>935</v>
      </c>
      <c r="G270" s="156" t="s">
        <v>148</v>
      </c>
    </row>
    <row r="271" spans="1:7" hidden="1" x14ac:dyDescent="0.25">
      <c r="A271" s="158">
        <v>3333</v>
      </c>
      <c r="B271" s="156" t="s">
        <v>181</v>
      </c>
      <c r="C271" s="156" t="s">
        <v>328</v>
      </c>
      <c r="D271" s="156" t="s">
        <v>21</v>
      </c>
      <c r="E271" s="156" t="s">
        <v>18</v>
      </c>
      <c r="F271" s="156" t="s">
        <v>936</v>
      </c>
      <c r="G271" s="156" t="s">
        <v>148</v>
      </c>
    </row>
    <row r="272" spans="1:7" hidden="1" x14ac:dyDescent="0.25">
      <c r="A272" s="158">
        <v>3376</v>
      </c>
      <c r="B272" s="156" t="s">
        <v>181</v>
      </c>
      <c r="C272" s="156" t="s">
        <v>328</v>
      </c>
      <c r="D272" s="156" t="s">
        <v>21</v>
      </c>
      <c r="E272" s="156" t="s">
        <v>19</v>
      </c>
      <c r="F272" s="156" t="s">
        <v>937</v>
      </c>
      <c r="G272" s="156" t="s">
        <v>148</v>
      </c>
    </row>
    <row r="273" spans="1:7" hidden="1" x14ac:dyDescent="0.25">
      <c r="A273" s="158">
        <v>3418</v>
      </c>
      <c r="B273" s="156" t="s">
        <v>181</v>
      </c>
      <c r="C273" s="156" t="s">
        <v>328</v>
      </c>
      <c r="D273" s="156" t="s">
        <v>21</v>
      </c>
      <c r="E273" s="156" t="s">
        <v>20</v>
      </c>
      <c r="F273" s="156" t="s">
        <v>938</v>
      </c>
      <c r="G273" s="156" t="s">
        <v>148</v>
      </c>
    </row>
    <row r="274" spans="1:7" hidden="1" x14ac:dyDescent="0.25">
      <c r="A274" s="158">
        <v>3460</v>
      </c>
      <c r="B274" s="156" t="s">
        <v>181</v>
      </c>
      <c r="C274" s="156" t="s">
        <v>328</v>
      </c>
      <c r="D274" s="156" t="s">
        <v>21</v>
      </c>
      <c r="E274" s="156" t="s">
        <v>189</v>
      </c>
      <c r="F274" s="156" t="s">
        <v>939</v>
      </c>
      <c r="G274" s="156" t="s">
        <v>148</v>
      </c>
    </row>
    <row r="275" spans="1:7" hidden="1" x14ac:dyDescent="0.25">
      <c r="A275" s="158">
        <v>3482</v>
      </c>
      <c r="B275" s="156" t="s">
        <v>181</v>
      </c>
      <c r="C275" s="156" t="s">
        <v>328</v>
      </c>
      <c r="D275" s="156" t="s">
        <v>21</v>
      </c>
      <c r="E275" s="156" t="s">
        <v>191</v>
      </c>
      <c r="F275" s="156" t="s">
        <v>940</v>
      </c>
      <c r="G275" s="156" t="s">
        <v>148</v>
      </c>
    </row>
    <row r="276" spans="1:7" hidden="1" x14ac:dyDescent="0.25">
      <c r="A276" s="158">
        <v>3504</v>
      </c>
      <c r="B276" s="156" t="s">
        <v>181</v>
      </c>
      <c r="C276" s="156" t="s">
        <v>328</v>
      </c>
      <c r="D276" s="156" t="s">
        <v>21</v>
      </c>
      <c r="E276" s="156" t="s">
        <v>14</v>
      </c>
      <c r="F276" s="156" t="s">
        <v>941</v>
      </c>
      <c r="G276" s="156" t="s">
        <v>148</v>
      </c>
    </row>
    <row r="277" spans="1:7" hidden="1" x14ac:dyDescent="0.25">
      <c r="A277" s="158">
        <v>3215</v>
      </c>
      <c r="B277" s="156" t="s">
        <v>181</v>
      </c>
      <c r="C277" s="156" t="s">
        <v>328</v>
      </c>
      <c r="D277" s="156" t="s">
        <v>203</v>
      </c>
      <c r="E277" s="156" t="s">
        <v>15</v>
      </c>
      <c r="F277" s="156" t="s">
        <v>918</v>
      </c>
      <c r="G277" s="156" t="s">
        <v>148</v>
      </c>
    </row>
    <row r="278" spans="1:7" hidden="1" x14ac:dyDescent="0.25">
      <c r="A278" s="158">
        <v>3229</v>
      </c>
      <c r="B278" s="156" t="s">
        <v>181</v>
      </c>
      <c r="C278" s="156" t="s">
        <v>328</v>
      </c>
      <c r="D278" s="156" t="s">
        <v>203</v>
      </c>
      <c r="E278" s="156" t="s">
        <v>207</v>
      </c>
      <c r="F278" s="156" t="s">
        <v>942</v>
      </c>
      <c r="G278" s="156" t="s">
        <v>148</v>
      </c>
    </row>
    <row r="279" spans="1:7" hidden="1" x14ac:dyDescent="0.25">
      <c r="A279" s="158">
        <v>3258</v>
      </c>
      <c r="B279" s="156" t="s">
        <v>181</v>
      </c>
      <c r="C279" s="156" t="s">
        <v>328</v>
      </c>
      <c r="D279" s="156" t="s">
        <v>203</v>
      </c>
      <c r="E279" s="156" t="s">
        <v>16</v>
      </c>
      <c r="F279" s="156" t="s">
        <v>919</v>
      </c>
      <c r="G279" s="156" t="s">
        <v>148</v>
      </c>
    </row>
    <row r="280" spans="1:7" hidden="1" x14ac:dyDescent="0.25">
      <c r="A280" s="158">
        <v>3272</v>
      </c>
      <c r="B280" s="156" t="s">
        <v>181</v>
      </c>
      <c r="C280" s="156" t="s">
        <v>328</v>
      </c>
      <c r="D280" s="156" t="s">
        <v>203</v>
      </c>
      <c r="E280" s="156" t="s">
        <v>212</v>
      </c>
      <c r="F280" s="156" t="s">
        <v>943</v>
      </c>
      <c r="G280" s="156" t="s">
        <v>148</v>
      </c>
    </row>
    <row r="281" spans="1:7" hidden="1" x14ac:dyDescent="0.25">
      <c r="A281" s="158">
        <v>3301</v>
      </c>
      <c r="B281" s="156" t="s">
        <v>181</v>
      </c>
      <c r="C281" s="156" t="s">
        <v>328</v>
      </c>
      <c r="D281" s="156" t="s">
        <v>203</v>
      </c>
      <c r="E281" s="156" t="s">
        <v>17</v>
      </c>
      <c r="F281" s="156" t="s">
        <v>920</v>
      </c>
      <c r="G281" s="156" t="s">
        <v>148</v>
      </c>
    </row>
    <row r="282" spans="1:7" hidden="1" x14ac:dyDescent="0.25">
      <c r="A282" s="158">
        <v>3315</v>
      </c>
      <c r="B282" s="156" t="s">
        <v>181</v>
      </c>
      <c r="C282" s="156" t="s">
        <v>328</v>
      </c>
      <c r="D282" s="156" t="s">
        <v>203</v>
      </c>
      <c r="E282" s="156" t="s">
        <v>217</v>
      </c>
      <c r="F282" s="156" t="s">
        <v>944</v>
      </c>
      <c r="G282" s="156" t="s">
        <v>148</v>
      </c>
    </row>
    <row r="283" spans="1:7" hidden="1" x14ac:dyDescent="0.25">
      <c r="A283" s="158">
        <v>3344</v>
      </c>
      <c r="B283" s="156" t="s">
        <v>181</v>
      </c>
      <c r="C283" s="156" t="s">
        <v>328</v>
      </c>
      <c r="D283" s="156" t="s">
        <v>203</v>
      </c>
      <c r="E283" s="156" t="s">
        <v>18</v>
      </c>
      <c r="F283" s="156" t="s">
        <v>921</v>
      </c>
      <c r="G283" s="156" t="s">
        <v>148</v>
      </c>
    </row>
    <row r="284" spans="1:7" hidden="1" x14ac:dyDescent="0.25">
      <c r="A284" s="158">
        <v>3358</v>
      </c>
      <c r="B284" s="156" t="s">
        <v>181</v>
      </c>
      <c r="C284" s="156" t="s">
        <v>328</v>
      </c>
      <c r="D284" s="156" t="s">
        <v>203</v>
      </c>
      <c r="E284" s="156" t="s">
        <v>222</v>
      </c>
      <c r="F284" s="156" t="s">
        <v>945</v>
      </c>
      <c r="G284" s="156" t="s">
        <v>148</v>
      </c>
    </row>
    <row r="285" spans="1:7" hidden="1" x14ac:dyDescent="0.25">
      <c r="A285" s="158">
        <v>3387</v>
      </c>
      <c r="B285" s="156" t="s">
        <v>181</v>
      </c>
      <c r="C285" s="156" t="s">
        <v>328</v>
      </c>
      <c r="D285" s="156" t="s">
        <v>203</v>
      </c>
      <c r="E285" s="156" t="s">
        <v>19</v>
      </c>
      <c r="F285" s="156" t="s">
        <v>922</v>
      </c>
      <c r="G285" s="156" t="s">
        <v>148</v>
      </c>
    </row>
    <row r="286" spans="1:7" hidden="1" x14ac:dyDescent="0.25">
      <c r="A286" s="158">
        <v>3400</v>
      </c>
      <c r="B286" s="156" t="s">
        <v>181</v>
      </c>
      <c r="C286" s="156" t="s">
        <v>328</v>
      </c>
      <c r="D286" s="156" t="s">
        <v>203</v>
      </c>
      <c r="E286" s="156" t="s">
        <v>227</v>
      </c>
      <c r="F286" s="156" t="s">
        <v>946</v>
      </c>
      <c r="G286" s="156" t="s">
        <v>148</v>
      </c>
    </row>
    <row r="287" spans="1:7" hidden="1" x14ac:dyDescent="0.25">
      <c r="A287" s="158">
        <v>3429</v>
      </c>
      <c r="B287" s="156" t="s">
        <v>181</v>
      </c>
      <c r="C287" s="156" t="s">
        <v>328</v>
      </c>
      <c r="D287" s="156" t="s">
        <v>203</v>
      </c>
      <c r="E287" s="156" t="s">
        <v>20</v>
      </c>
      <c r="F287" s="156" t="s">
        <v>923</v>
      </c>
      <c r="G287" s="156" t="s">
        <v>148</v>
      </c>
    </row>
    <row r="288" spans="1:7" hidden="1" x14ac:dyDescent="0.25">
      <c r="A288" s="158">
        <v>3442</v>
      </c>
      <c r="B288" s="156" t="s">
        <v>181</v>
      </c>
      <c r="C288" s="156" t="s">
        <v>328</v>
      </c>
      <c r="D288" s="156" t="s">
        <v>203</v>
      </c>
      <c r="E288" s="156" t="s">
        <v>232</v>
      </c>
      <c r="F288" s="156" t="s">
        <v>947</v>
      </c>
      <c r="G288" s="156" t="s">
        <v>148</v>
      </c>
    </row>
    <row r="289" spans="1:7" hidden="1" x14ac:dyDescent="0.25">
      <c r="A289" s="158">
        <v>3517</v>
      </c>
      <c r="B289" s="156" t="s">
        <v>181</v>
      </c>
      <c r="C289" s="156" t="s">
        <v>359</v>
      </c>
      <c r="D289" s="156" t="s">
        <v>22</v>
      </c>
      <c r="E289" s="156" t="s">
        <v>15</v>
      </c>
      <c r="F289" s="156" t="s">
        <v>870</v>
      </c>
      <c r="G289" s="156" t="s">
        <v>148</v>
      </c>
    </row>
    <row r="290" spans="1:7" hidden="1" x14ac:dyDescent="0.25">
      <c r="A290" s="158">
        <v>3527</v>
      </c>
      <c r="B290" s="156" t="s">
        <v>181</v>
      </c>
      <c r="C290" s="156" t="s">
        <v>359</v>
      </c>
      <c r="D290" s="156" t="s">
        <v>22</v>
      </c>
      <c r="E290" s="156" t="s">
        <v>16</v>
      </c>
      <c r="F290" s="156" t="s">
        <v>871</v>
      </c>
      <c r="G290" s="156" t="s">
        <v>148</v>
      </c>
    </row>
    <row r="291" spans="1:7" hidden="1" x14ac:dyDescent="0.25">
      <c r="A291" s="158">
        <v>3537</v>
      </c>
      <c r="B291" s="156" t="s">
        <v>181</v>
      </c>
      <c r="C291" s="156" t="s">
        <v>359</v>
      </c>
      <c r="D291" s="156" t="s">
        <v>22</v>
      </c>
      <c r="E291" s="156" t="s">
        <v>17</v>
      </c>
      <c r="F291" s="156" t="s">
        <v>872</v>
      </c>
      <c r="G291" s="156" t="s">
        <v>148</v>
      </c>
    </row>
    <row r="292" spans="1:7" hidden="1" x14ac:dyDescent="0.25">
      <c r="A292" s="158">
        <v>3547</v>
      </c>
      <c r="B292" s="156" t="s">
        <v>181</v>
      </c>
      <c r="C292" s="156" t="s">
        <v>359</v>
      </c>
      <c r="D292" s="156" t="s">
        <v>22</v>
      </c>
      <c r="E292" s="156" t="s">
        <v>18</v>
      </c>
      <c r="F292" s="156" t="s">
        <v>873</v>
      </c>
      <c r="G292" s="156" t="s">
        <v>148</v>
      </c>
    </row>
    <row r="293" spans="1:7" hidden="1" x14ac:dyDescent="0.25">
      <c r="A293" s="158">
        <v>3557</v>
      </c>
      <c r="B293" s="156" t="s">
        <v>181</v>
      </c>
      <c r="C293" s="156" t="s">
        <v>359</v>
      </c>
      <c r="D293" s="156" t="s">
        <v>22</v>
      </c>
      <c r="E293" s="156" t="s">
        <v>19</v>
      </c>
      <c r="F293" s="156" t="s">
        <v>874</v>
      </c>
      <c r="G293" s="156" t="s">
        <v>148</v>
      </c>
    </row>
    <row r="294" spans="1:7" hidden="1" x14ac:dyDescent="0.25">
      <c r="A294" s="158">
        <v>3567</v>
      </c>
      <c r="B294" s="156" t="s">
        <v>181</v>
      </c>
      <c r="C294" s="156" t="s">
        <v>359</v>
      </c>
      <c r="D294" s="156" t="s">
        <v>22</v>
      </c>
      <c r="E294" s="156" t="s">
        <v>20</v>
      </c>
      <c r="F294" s="156" t="s">
        <v>875</v>
      </c>
      <c r="G294" s="156" t="s">
        <v>148</v>
      </c>
    </row>
    <row r="295" spans="1:7" hidden="1" x14ac:dyDescent="0.25">
      <c r="A295" s="158">
        <v>3194</v>
      </c>
      <c r="B295" s="156" t="s">
        <v>181</v>
      </c>
      <c r="C295" s="156" t="s">
        <v>359</v>
      </c>
      <c r="D295" s="156" t="s">
        <v>14</v>
      </c>
      <c r="E295" s="156" t="s">
        <v>15</v>
      </c>
      <c r="F295" s="156" t="s">
        <v>876</v>
      </c>
      <c r="G295" s="156" t="s">
        <v>148</v>
      </c>
    </row>
    <row r="296" spans="1:7" hidden="1" x14ac:dyDescent="0.25">
      <c r="A296" s="158">
        <v>3237</v>
      </c>
      <c r="B296" s="156" t="s">
        <v>181</v>
      </c>
      <c r="C296" s="156" t="s">
        <v>359</v>
      </c>
      <c r="D296" s="156" t="s">
        <v>14</v>
      </c>
      <c r="E296" s="156" t="s">
        <v>16</v>
      </c>
      <c r="F296" s="156" t="s">
        <v>877</v>
      </c>
      <c r="G296" s="156" t="s">
        <v>148</v>
      </c>
    </row>
    <row r="297" spans="1:7" hidden="1" x14ac:dyDescent="0.25">
      <c r="A297" s="158">
        <v>3280</v>
      </c>
      <c r="B297" s="156" t="s">
        <v>181</v>
      </c>
      <c r="C297" s="156" t="s">
        <v>359</v>
      </c>
      <c r="D297" s="156" t="s">
        <v>14</v>
      </c>
      <c r="E297" s="156" t="s">
        <v>17</v>
      </c>
      <c r="F297" s="156" t="s">
        <v>878</v>
      </c>
      <c r="G297" s="156" t="s">
        <v>148</v>
      </c>
    </row>
    <row r="298" spans="1:7" hidden="1" x14ac:dyDescent="0.25">
      <c r="A298" s="158">
        <v>3323</v>
      </c>
      <c r="B298" s="156" t="s">
        <v>181</v>
      </c>
      <c r="C298" s="156" t="s">
        <v>359</v>
      </c>
      <c r="D298" s="156" t="s">
        <v>14</v>
      </c>
      <c r="E298" s="156" t="s">
        <v>18</v>
      </c>
      <c r="F298" s="156" t="s">
        <v>879</v>
      </c>
      <c r="G298" s="156" t="s">
        <v>148</v>
      </c>
    </row>
    <row r="299" spans="1:7" hidden="1" x14ac:dyDescent="0.25">
      <c r="A299" s="158">
        <v>3366</v>
      </c>
      <c r="B299" s="156" t="s">
        <v>181</v>
      </c>
      <c r="C299" s="156" t="s">
        <v>359</v>
      </c>
      <c r="D299" s="156" t="s">
        <v>14</v>
      </c>
      <c r="E299" s="156" t="s">
        <v>19</v>
      </c>
      <c r="F299" s="156" t="s">
        <v>880</v>
      </c>
      <c r="G299" s="156" t="s">
        <v>148</v>
      </c>
    </row>
    <row r="300" spans="1:7" hidden="1" x14ac:dyDescent="0.25">
      <c r="A300" s="158">
        <v>3408</v>
      </c>
      <c r="B300" s="156" t="s">
        <v>181</v>
      </c>
      <c r="C300" s="156" t="s">
        <v>359</v>
      </c>
      <c r="D300" s="156" t="s">
        <v>14</v>
      </c>
      <c r="E300" s="156" t="s">
        <v>20</v>
      </c>
      <c r="F300" s="156" t="s">
        <v>881</v>
      </c>
      <c r="G300" s="156" t="s">
        <v>148</v>
      </c>
    </row>
    <row r="301" spans="1:7" hidden="1" x14ac:dyDescent="0.25">
      <c r="A301" s="158">
        <v>3450</v>
      </c>
      <c r="B301" s="156" t="s">
        <v>181</v>
      </c>
      <c r="C301" s="156" t="s">
        <v>359</v>
      </c>
      <c r="D301" s="156" t="s">
        <v>14</v>
      </c>
      <c r="E301" s="156" t="s">
        <v>189</v>
      </c>
      <c r="F301" s="156" t="s">
        <v>882</v>
      </c>
      <c r="G301" s="156" t="s">
        <v>148</v>
      </c>
    </row>
    <row r="302" spans="1:7" hidden="1" x14ac:dyDescent="0.25">
      <c r="A302" s="158">
        <v>3472</v>
      </c>
      <c r="B302" s="156" t="s">
        <v>181</v>
      </c>
      <c r="C302" s="156" t="s">
        <v>359</v>
      </c>
      <c r="D302" s="156" t="s">
        <v>14</v>
      </c>
      <c r="E302" s="156" t="s">
        <v>191</v>
      </c>
      <c r="F302" s="156" t="s">
        <v>883</v>
      </c>
      <c r="G302" s="156" t="s">
        <v>148</v>
      </c>
    </row>
    <row r="303" spans="1:7" hidden="1" x14ac:dyDescent="0.25">
      <c r="A303" s="158">
        <v>3494</v>
      </c>
      <c r="B303" s="156" t="s">
        <v>181</v>
      </c>
      <c r="C303" s="156" t="s">
        <v>359</v>
      </c>
      <c r="D303" s="156" t="s">
        <v>14</v>
      </c>
      <c r="E303" s="156" t="s">
        <v>14</v>
      </c>
      <c r="F303" s="156" t="s">
        <v>884</v>
      </c>
      <c r="G303" s="156" t="s">
        <v>148</v>
      </c>
    </row>
    <row r="304" spans="1:7" hidden="1" x14ac:dyDescent="0.25">
      <c r="A304" s="158">
        <v>3205</v>
      </c>
      <c r="B304" s="156" t="s">
        <v>181</v>
      </c>
      <c r="C304" s="156" t="s">
        <v>359</v>
      </c>
      <c r="D304" s="156" t="s">
        <v>21</v>
      </c>
      <c r="E304" s="156" t="s">
        <v>15</v>
      </c>
      <c r="F304" s="156" t="s">
        <v>885</v>
      </c>
      <c r="G304" s="156" t="s">
        <v>148</v>
      </c>
    </row>
    <row r="305" spans="1:7" hidden="1" x14ac:dyDescent="0.25">
      <c r="A305" s="158">
        <v>3248</v>
      </c>
      <c r="B305" s="156" t="s">
        <v>181</v>
      </c>
      <c r="C305" s="156" t="s">
        <v>359</v>
      </c>
      <c r="D305" s="156" t="s">
        <v>21</v>
      </c>
      <c r="E305" s="156" t="s">
        <v>16</v>
      </c>
      <c r="F305" s="156" t="s">
        <v>886</v>
      </c>
      <c r="G305" s="156" t="s">
        <v>148</v>
      </c>
    </row>
    <row r="306" spans="1:7" hidden="1" x14ac:dyDescent="0.25">
      <c r="A306" s="158">
        <v>3291</v>
      </c>
      <c r="B306" s="156" t="s">
        <v>181</v>
      </c>
      <c r="C306" s="156" t="s">
        <v>359</v>
      </c>
      <c r="D306" s="156" t="s">
        <v>21</v>
      </c>
      <c r="E306" s="156" t="s">
        <v>17</v>
      </c>
      <c r="F306" s="156" t="s">
        <v>887</v>
      </c>
      <c r="G306" s="156" t="s">
        <v>148</v>
      </c>
    </row>
    <row r="307" spans="1:7" hidden="1" x14ac:dyDescent="0.25">
      <c r="A307" s="158">
        <v>3334</v>
      </c>
      <c r="B307" s="156" t="s">
        <v>181</v>
      </c>
      <c r="C307" s="156" t="s">
        <v>359</v>
      </c>
      <c r="D307" s="156" t="s">
        <v>21</v>
      </c>
      <c r="E307" s="156" t="s">
        <v>18</v>
      </c>
      <c r="F307" s="156" t="s">
        <v>888</v>
      </c>
      <c r="G307" s="156" t="s">
        <v>148</v>
      </c>
    </row>
    <row r="308" spans="1:7" hidden="1" x14ac:dyDescent="0.25">
      <c r="A308" s="158">
        <v>3377</v>
      </c>
      <c r="B308" s="156" t="s">
        <v>181</v>
      </c>
      <c r="C308" s="156" t="s">
        <v>359</v>
      </c>
      <c r="D308" s="156" t="s">
        <v>21</v>
      </c>
      <c r="E308" s="156" t="s">
        <v>19</v>
      </c>
      <c r="F308" s="156" t="s">
        <v>889</v>
      </c>
      <c r="G308" s="156" t="s">
        <v>148</v>
      </c>
    </row>
    <row r="309" spans="1:7" hidden="1" x14ac:dyDescent="0.25">
      <c r="A309" s="158">
        <v>3419</v>
      </c>
      <c r="B309" s="156" t="s">
        <v>181</v>
      </c>
      <c r="C309" s="156" t="s">
        <v>359</v>
      </c>
      <c r="D309" s="156" t="s">
        <v>21</v>
      </c>
      <c r="E309" s="156" t="s">
        <v>20</v>
      </c>
      <c r="F309" s="156" t="s">
        <v>890</v>
      </c>
      <c r="G309" s="156" t="s">
        <v>148</v>
      </c>
    </row>
    <row r="310" spans="1:7" hidden="1" x14ac:dyDescent="0.25">
      <c r="A310" s="158">
        <v>3461</v>
      </c>
      <c r="B310" s="156" t="s">
        <v>181</v>
      </c>
      <c r="C310" s="156" t="s">
        <v>359</v>
      </c>
      <c r="D310" s="156" t="s">
        <v>21</v>
      </c>
      <c r="E310" s="156" t="s">
        <v>189</v>
      </c>
      <c r="F310" s="156" t="s">
        <v>891</v>
      </c>
      <c r="G310" s="156" t="s">
        <v>148</v>
      </c>
    </row>
    <row r="311" spans="1:7" hidden="1" x14ac:dyDescent="0.25">
      <c r="A311" s="158">
        <v>3483</v>
      </c>
      <c r="B311" s="156" t="s">
        <v>181</v>
      </c>
      <c r="C311" s="156" t="s">
        <v>359</v>
      </c>
      <c r="D311" s="156" t="s">
        <v>21</v>
      </c>
      <c r="E311" s="156" t="s">
        <v>191</v>
      </c>
      <c r="F311" s="156" t="s">
        <v>892</v>
      </c>
      <c r="G311" s="156" t="s">
        <v>148</v>
      </c>
    </row>
    <row r="312" spans="1:7" hidden="1" x14ac:dyDescent="0.25">
      <c r="A312" s="158">
        <v>3505</v>
      </c>
      <c r="B312" s="156" t="s">
        <v>181</v>
      </c>
      <c r="C312" s="156" t="s">
        <v>359</v>
      </c>
      <c r="D312" s="156" t="s">
        <v>21</v>
      </c>
      <c r="E312" s="156" t="s">
        <v>14</v>
      </c>
      <c r="F312" s="156" t="s">
        <v>893</v>
      </c>
      <c r="G312" s="156" t="s">
        <v>148</v>
      </c>
    </row>
    <row r="313" spans="1:7" hidden="1" x14ac:dyDescent="0.25">
      <c r="A313" s="158">
        <v>3216</v>
      </c>
      <c r="B313" s="156" t="s">
        <v>181</v>
      </c>
      <c r="C313" s="156" t="s">
        <v>359</v>
      </c>
      <c r="D313" s="156" t="s">
        <v>203</v>
      </c>
      <c r="E313" s="156" t="s">
        <v>15</v>
      </c>
      <c r="F313" s="156" t="s">
        <v>870</v>
      </c>
      <c r="G313" s="156" t="s">
        <v>148</v>
      </c>
    </row>
    <row r="314" spans="1:7" hidden="1" x14ac:dyDescent="0.25">
      <c r="A314" s="158">
        <v>3259</v>
      </c>
      <c r="B314" s="156" t="s">
        <v>181</v>
      </c>
      <c r="C314" s="156" t="s">
        <v>359</v>
      </c>
      <c r="D314" s="156" t="s">
        <v>203</v>
      </c>
      <c r="E314" s="156" t="s">
        <v>16</v>
      </c>
      <c r="F314" s="156" t="s">
        <v>871</v>
      </c>
      <c r="G314" s="156" t="s">
        <v>148</v>
      </c>
    </row>
    <row r="315" spans="1:7" hidden="1" x14ac:dyDescent="0.25">
      <c r="A315" s="158">
        <v>3302</v>
      </c>
      <c r="B315" s="156" t="s">
        <v>181</v>
      </c>
      <c r="C315" s="156" t="s">
        <v>359</v>
      </c>
      <c r="D315" s="156" t="s">
        <v>203</v>
      </c>
      <c r="E315" s="156" t="s">
        <v>17</v>
      </c>
      <c r="F315" s="156" t="s">
        <v>872</v>
      </c>
      <c r="G315" s="156" t="s">
        <v>148</v>
      </c>
    </row>
    <row r="316" spans="1:7" hidden="1" x14ac:dyDescent="0.25">
      <c r="A316" s="158">
        <v>3345</v>
      </c>
      <c r="B316" s="156" t="s">
        <v>181</v>
      </c>
      <c r="C316" s="156" t="s">
        <v>359</v>
      </c>
      <c r="D316" s="156" t="s">
        <v>203</v>
      </c>
      <c r="E316" s="156" t="s">
        <v>18</v>
      </c>
      <c r="F316" s="156" t="s">
        <v>873</v>
      </c>
      <c r="G316" s="156" t="s">
        <v>148</v>
      </c>
    </row>
    <row r="317" spans="1:7" hidden="1" x14ac:dyDescent="0.25">
      <c r="A317" s="158">
        <v>3388</v>
      </c>
      <c r="B317" s="156" t="s">
        <v>181</v>
      </c>
      <c r="C317" s="156" t="s">
        <v>359</v>
      </c>
      <c r="D317" s="156" t="s">
        <v>203</v>
      </c>
      <c r="E317" s="156" t="s">
        <v>19</v>
      </c>
      <c r="F317" s="156" t="s">
        <v>874</v>
      </c>
      <c r="G317" s="156" t="s">
        <v>148</v>
      </c>
    </row>
    <row r="318" spans="1:7" hidden="1" x14ac:dyDescent="0.25">
      <c r="A318" s="158">
        <v>3430</v>
      </c>
      <c r="B318" s="156" t="s">
        <v>181</v>
      </c>
      <c r="C318" s="156" t="s">
        <v>359</v>
      </c>
      <c r="D318" s="156" t="s">
        <v>203</v>
      </c>
      <c r="E318" s="156" t="s">
        <v>20</v>
      </c>
      <c r="F318" s="156" t="s">
        <v>875</v>
      </c>
      <c r="G318" s="156" t="s">
        <v>148</v>
      </c>
    </row>
    <row r="319" spans="1:7" hidden="1" x14ac:dyDescent="0.25">
      <c r="A319" s="158">
        <v>3518</v>
      </c>
      <c r="B319" s="156" t="s">
        <v>181</v>
      </c>
      <c r="C319" s="156" t="s">
        <v>360</v>
      </c>
      <c r="D319" s="156" t="s">
        <v>22</v>
      </c>
      <c r="E319" s="156" t="s">
        <v>15</v>
      </c>
      <c r="F319" s="156" t="s">
        <v>870</v>
      </c>
      <c r="G319" s="156" t="s">
        <v>148</v>
      </c>
    </row>
    <row r="320" spans="1:7" hidden="1" x14ac:dyDescent="0.25">
      <c r="A320" s="158">
        <v>3528</v>
      </c>
      <c r="B320" s="156" t="s">
        <v>181</v>
      </c>
      <c r="C320" s="156" t="s">
        <v>360</v>
      </c>
      <c r="D320" s="156" t="s">
        <v>22</v>
      </c>
      <c r="E320" s="156" t="s">
        <v>16</v>
      </c>
      <c r="F320" s="156" t="s">
        <v>871</v>
      </c>
      <c r="G320" s="156" t="s">
        <v>148</v>
      </c>
    </row>
    <row r="321" spans="1:7" hidden="1" x14ac:dyDescent="0.25">
      <c r="A321" s="158">
        <v>3538</v>
      </c>
      <c r="B321" s="156" t="s">
        <v>181</v>
      </c>
      <c r="C321" s="156" t="s">
        <v>360</v>
      </c>
      <c r="D321" s="156" t="s">
        <v>22</v>
      </c>
      <c r="E321" s="156" t="s">
        <v>17</v>
      </c>
      <c r="F321" s="156" t="s">
        <v>872</v>
      </c>
      <c r="G321" s="156" t="s">
        <v>148</v>
      </c>
    </row>
    <row r="322" spans="1:7" hidden="1" x14ac:dyDescent="0.25">
      <c r="A322" s="158">
        <v>3548</v>
      </c>
      <c r="B322" s="156" t="s">
        <v>181</v>
      </c>
      <c r="C322" s="156" t="s">
        <v>360</v>
      </c>
      <c r="D322" s="156" t="s">
        <v>22</v>
      </c>
      <c r="E322" s="156" t="s">
        <v>18</v>
      </c>
      <c r="F322" s="156" t="s">
        <v>873</v>
      </c>
      <c r="G322" s="156" t="s">
        <v>148</v>
      </c>
    </row>
    <row r="323" spans="1:7" hidden="1" x14ac:dyDescent="0.25">
      <c r="A323" s="158">
        <v>3558</v>
      </c>
      <c r="B323" s="156" t="s">
        <v>181</v>
      </c>
      <c r="C323" s="156" t="s">
        <v>360</v>
      </c>
      <c r="D323" s="156" t="s">
        <v>22</v>
      </c>
      <c r="E323" s="156" t="s">
        <v>19</v>
      </c>
      <c r="F323" s="156" t="s">
        <v>874</v>
      </c>
      <c r="G323" s="156" t="s">
        <v>148</v>
      </c>
    </row>
    <row r="324" spans="1:7" hidden="1" x14ac:dyDescent="0.25">
      <c r="A324" s="158">
        <v>3568</v>
      </c>
      <c r="B324" s="156" t="s">
        <v>181</v>
      </c>
      <c r="C324" s="156" t="s">
        <v>360</v>
      </c>
      <c r="D324" s="156" t="s">
        <v>22</v>
      </c>
      <c r="E324" s="156" t="s">
        <v>20</v>
      </c>
      <c r="F324" s="156" t="s">
        <v>875</v>
      </c>
      <c r="G324" s="156" t="s">
        <v>148</v>
      </c>
    </row>
    <row r="325" spans="1:7" hidden="1" x14ac:dyDescent="0.25">
      <c r="A325" s="158">
        <v>3195</v>
      </c>
      <c r="B325" s="156" t="s">
        <v>181</v>
      </c>
      <c r="C325" s="156" t="s">
        <v>360</v>
      </c>
      <c r="D325" s="156" t="s">
        <v>14</v>
      </c>
      <c r="E325" s="156" t="s">
        <v>15</v>
      </c>
      <c r="F325" s="156" t="s">
        <v>876</v>
      </c>
      <c r="G325" s="156" t="s">
        <v>148</v>
      </c>
    </row>
    <row r="326" spans="1:7" hidden="1" x14ac:dyDescent="0.25">
      <c r="A326" s="158">
        <v>3238</v>
      </c>
      <c r="B326" s="156" t="s">
        <v>181</v>
      </c>
      <c r="C326" s="156" t="s">
        <v>360</v>
      </c>
      <c r="D326" s="156" t="s">
        <v>14</v>
      </c>
      <c r="E326" s="156" t="s">
        <v>16</v>
      </c>
      <c r="F326" s="156" t="s">
        <v>877</v>
      </c>
      <c r="G326" s="156" t="s">
        <v>148</v>
      </c>
    </row>
    <row r="327" spans="1:7" hidden="1" x14ac:dyDescent="0.25">
      <c r="A327" s="158">
        <v>3281</v>
      </c>
      <c r="B327" s="156" t="s">
        <v>181</v>
      </c>
      <c r="C327" s="156" t="s">
        <v>360</v>
      </c>
      <c r="D327" s="156" t="s">
        <v>14</v>
      </c>
      <c r="E327" s="156" t="s">
        <v>17</v>
      </c>
      <c r="F327" s="156" t="s">
        <v>878</v>
      </c>
      <c r="G327" s="156" t="s">
        <v>148</v>
      </c>
    </row>
    <row r="328" spans="1:7" hidden="1" x14ac:dyDescent="0.25">
      <c r="A328" s="158">
        <v>3324</v>
      </c>
      <c r="B328" s="156" t="s">
        <v>181</v>
      </c>
      <c r="C328" s="156" t="s">
        <v>360</v>
      </c>
      <c r="D328" s="156" t="s">
        <v>14</v>
      </c>
      <c r="E328" s="156" t="s">
        <v>18</v>
      </c>
      <c r="F328" s="156" t="s">
        <v>879</v>
      </c>
      <c r="G328" s="156" t="s">
        <v>148</v>
      </c>
    </row>
    <row r="329" spans="1:7" hidden="1" x14ac:dyDescent="0.25">
      <c r="A329" s="158">
        <v>3367</v>
      </c>
      <c r="B329" s="156" t="s">
        <v>181</v>
      </c>
      <c r="C329" s="156" t="s">
        <v>360</v>
      </c>
      <c r="D329" s="156" t="s">
        <v>14</v>
      </c>
      <c r="E329" s="156" t="s">
        <v>19</v>
      </c>
      <c r="F329" s="156" t="s">
        <v>880</v>
      </c>
      <c r="G329" s="156" t="s">
        <v>148</v>
      </c>
    </row>
    <row r="330" spans="1:7" hidden="1" x14ac:dyDescent="0.25">
      <c r="A330" s="158">
        <v>3409</v>
      </c>
      <c r="B330" s="156" t="s">
        <v>181</v>
      </c>
      <c r="C330" s="156" t="s">
        <v>360</v>
      </c>
      <c r="D330" s="156" t="s">
        <v>14</v>
      </c>
      <c r="E330" s="156" t="s">
        <v>20</v>
      </c>
      <c r="F330" s="156" t="s">
        <v>881</v>
      </c>
      <c r="G330" s="156" t="s">
        <v>148</v>
      </c>
    </row>
    <row r="331" spans="1:7" hidden="1" x14ac:dyDescent="0.25">
      <c r="A331" s="158">
        <v>3451</v>
      </c>
      <c r="B331" s="156" t="s">
        <v>181</v>
      </c>
      <c r="C331" s="156" t="s">
        <v>360</v>
      </c>
      <c r="D331" s="156" t="s">
        <v>14</v>
      </c>
      <c r="E331" s="156" t="s">
        <v>189</v>
      </c>
      <c r="F331" s="156" t="s">
        <v>882</v>
      </c>
      <c r="G331" s="156" t="s">
        <v>148</v>
      </c>
    </row>
    <row r="332" spans="1:7" hidden="1" x14ac:dyDescent="0.25">
      <c r="A332" s="158">
        <v>3473</v>
      </c>
      <c r="B332" s="156" t="s">
        <v>181</v>
      </c>
      <c r="C332" s="156" t="s">
        <v>360</v>
      </c>
      <c r="D332" s="156" t="s">
        <v>14</v>
      </c>
      <c r="E332" s="156" t="s">
        <v>191</v>
      </c>
      <c r="F332" s="156" t="s">
        <v>883</v>
      </c>
      <c r="G332" s="156" t="s">
        <v>148</v>
      </c>
    </row>
    <row r="333" spans="1:7" hidden="1" x14ac:dyDescent="0.25">
      <c r="A333" s="158">
        <v>3495</v>
      </c>
      <c r="B333" s="156" t="s">
        <v>181</v>
      </c>
      <c r="C333" s="156" t="s">
        <v>360</v>
      </c>
      <c r="D333" s="156" t="s">
        <v>14</v>
      </c>
      <c r="E333" s="156" t="s">
        <v>14</v>
      </c>
      <c r="F333" s="156" t="s">
        <v>884</v>
      </c>
      <c r="G333" s="156" t="s">
        <v>148</v>
      </c>
    </row>
    <row r="334" spans="1:7" hidden="1" x14ac:dyDescent="0.25">
      <c r="A334" s="158">
        <v>3206</v>
      </c>
      <c r="B334" s="156" t="s">
        <v>181</v>
      </c>
      <c r="C334" s="156" t="s">
        <v>360</v>
      </c>
      <c r="D334" s="156" t="s">
        <v>21</v>
      </c>
      <c r="E334" s="156" t="s">
        <v>15</v>
      </c>
      <c r="F334" s="156" t="s">
        <v>885</v>
      </c>
      <c r="G334" s="156" t="s">
        <v>148</v>
      </c>
    </row>
    <row r="335" spans="1:7" hidden="1" x14ac:dyDescent="0.25">
      <c r="A335" s="158">
        <v>3249</v>
      </c>
      <c r="B335" s="156" t="s">
        <v>181</v>
      </c>
      <c r="C335" s="156" t="s">
        <v>360</v>
      </c>
      <c r="D335" s="156" t="s">
        <v>21</v>
      </c>
      <c r="E335" s="156" t="s">
        <v>16</v>
      </c>
      <c r="F335" s="156" t="s">
        <v>886</v>
      </c>
      <c r="G335" s="156" t="s">
        <v>148</v>
      </c>
    </row>
    <row r="336" spans="1:7" hidden="1" x14ac:dyDescent="0.25">
      <c r="A336" s="158">
        <v>3292</v>
      </c>
      <c r="B336" s="156" t="s">
        <v>181</v>
      </c>
      <c r="C336" s="156" t="s">
        <v>360</v>
      </c>
      <c r="D336" s="156" t="s">
        <v>21</v>
      </c>
      <c r="E336" s="156" t="s">
        <v>17</v>
      </c>
      <c r="F336" s="156" t="s">
        <v>887</v>
      </c>
      <c r="G336" s="156" t="s">
        <v>148</v>
      </c>
    </row>
    <row r="337" spans="1:7" hidden="1" x14ac:dyDescent="0.25">
      <c r="A337" s="158">
        <v>3335</v>
      </c>
      <c r="B337" s="156" t="s">
        <v>181</v>
      </c>
      <c r="C337" s="156" t="s">
        <v>360</v>
      </c>
      <c r="D337" s="156" t="s">
        <v>21</v>
      </c>
      <c r="E337" s="156" t="s">
        <v>18</v>
      </c>
      <c r="F337" s="156" t="s">
        <v>888</v>
      </c>
      <c r="G337" s="156" t="s">
        <v>148</v>
      </c>
    </row>
    <row r="338" spans="1:7" hidden="1" x14ac:dyDescent="0.25">
      <c r="A338" s="158">
        <v>3378</v>
      </c>
      <c r="B338" s="156" t="s">
        <v>181</v>
      </c>
      <c r="C338" s="156" t="s">
        <v>360</v>
      </c>
      <c r="D338" s="156" t="s">
        <v>21</v>
      </c>
      <c r="E338" s="156" t="s">
        <v>19</v>
      </c>
      <c r="F338" s="156" t="s">
        <v>889</v>
      </c>
      <c r="G338" s="156" t="s">
        <v>148</v>
      </c>
    </row>
    <row r="339" spans="1:7" hidden="1" x14ac:dyDescent="0.25">
      <c r="A339" s="158">
        <v>3420</v>
      </c>
      <c r="B339" s="156" t="s">
        <v>181</v>
      </c>
      <c r="C339" s="156" t="s">
        <v>360</v>
      </c>
      <c r="D339" s="156" t="s">
        <v>21</v>
      </c>
      <c r="E339" s="156" t="s">
        <v>20</v>
      </c>
      <c r="F339" s="156" t="s">
        <v>890</v>
      </c>
      <c r="G339" s="156" t="s">
        <v>148</v>
      </c>
    </row>
    <row r="340" spans="1:7" hidden="1" x14ac:dyDescent="0.25">
      <c r="A340" s="158">
        <v>3462</v>
      </c>
      <c r="B340" s="156" t="s">
        <v>181</v>
      </c>
      <c r="C340" s="156" t="s">
        <v>360</v>
      </c>
      <c r="D340" s="156" t="s">
        <v>21</v>
      </c>
      <c r="E340" s="156" t="s">
        <v>189</v>
      </c>
      <c r="F340" s="156" t="s">
        <v>891</v>
      </c>
      <c r="G340" s="156" t="s">
        <v>148</v>
      </c>
    </row>
    <row r="341" spans="1:7" hidden="1" x14ac:dyDescent="0.25">
      <c r="A341" s="158">
        <v>3484</v>
      </c>
      <c r="B341" s="156" t="s">
        <v>181</v>
      </c>
      <c r="C341" s="156" t="s">
        <v>360</v>
      </c>
      <c r="D341" s="156" t="s">
        <v>21</v>
      </c>
      <c r="E341" s="156" t="s">
        <v>191</v>
      </c>
      <c r="F341" s="156" t="s">
        <v>892</v>
      </c>
      <c r="G341" s="156" t="s">
        <v>148</v>
      </c>
    </row>
    <row r="342" spans="1:7" hidden="1" x14ac:dyDescent="0.25">
      <c r="A342" s="158">
        <v>3506</v>
      </c>
      <c r="B342" s="156" t="s">
        <v>181</v>
      </c>
      <c r="C342" s="156" t="s">
        <v>360</v>
      </c>
      <c r="D342" s="156" t="s">
        <v>21</v>
      </c>
      <c r="E342" s="156" t="s">
        <v>14</v>
      </c>
      <c r="F342" s="156" t="s">
        <v>893</v>
      </c>
      <c r="G342" s="156" t="s">
        <v>148</v>
      </c>
    </row>
    <row r="343" spans="1:7" hidden="1" x14ac:dyDescent="0.25">
      <c r="A343" s="158">
        <v>3217</v>
      </c>
      <c r="B343" s="156" t="s">
        <v>181</v>
      </c>
      <c r="C343" s="156" t="s">
        <v>360</v>
      </c>
      <c r="D343" s="156" t="s">
        <v>203</v>
      </c>
      <c r="E343" s="156" t="s">
        <v>15</v>
      </c>
      <c r="F343" s="156" t="s">
        <v>870</v>
      </c>
      <c r="G343" s="156" t="s">
        <v>148</v>
      </c>
    </row>
    <row r="344" spans="1:7" hidden="1" x14ac:dyDescent="0.25">
      <c r="A344" s="158">
        <v>3260</v>
      </c>
      <c r="B344" s="156" t="s">
        <v>181</v>
      </c>
      <c r="C344" s="156" t="s">
        <v>360</v>
      </c>
      <c r="D344" s="156" t="s">
        <v>203</v>
      </c>
      <c r="E344" s="156" t="s">
        <v>16</v>
      </c>
      <c r="F344" s="156" t="s">
        <v>871</v>
      </c>
      <c r="G344" s="156" t="s">
        <v>148</v>
      </c>
    </row>
    <row r="345" spans="1:7" hidden="1" x14ac:dyDescent="0.25">
      <c r="A345" s="158">
        <v>3303</v>
      </c>
      <c r="B345" s="156" t="s">
        <v>181</v>
      </c>
      <c r="C345" s="156" t="s">
        <v>360</v>
      </c>
      <c r="D345" s="156" t="s">
        <v>203</v>
      </c>
      <c r="E345" s="156" t="s">
        <v>17</v>
      </c>
      <c r="F345" s="156" t="s">
        <v>872</v>
      </c>
      <c r="G345" s="156" t="s">
        <v>148</v>
      </c>
    </row>
    <row r="346" spans="1:7" hidden="1" x14ac:dyDescent="0.25">
      <c r="A346" s="158">
        <v>3346</v>
      </c>
      <c r="B346" s="156" t="s">
        <v>181</v>
      </c>
      <c r="C346" s="156" t="s">
        <v>360</v>
      </c>
      <c r="D346" s="156" t="s">
        <v>203</v>
      </c>
      <c r="E346" s="156" t="s">
        <v>18</v>
      </c>
      <c r="F346" s="156" t="s">
        <v>873</v>
      </c>
      <c r="G346" s="156" t="s">
        <v>148</v>
      </c>
    </row>
    <row r="347" spans="1:7" hidden="1" x14ac:dyDescent="0.25">
      <c r="A347" s="158">
        <v>3389</v>
      </c>
      <c r="B347" s="156" t="s">
        <v>181</v>
      </c>
      <c r="C347" s="156" t="s">
        <v>360</v>
      </c>
      <c r="D347" s="156" t="s">
        <v>203</v>
      </c>
      <c r="E347" s="156" t="s">
        <v>19</v>
      </c>
      <c r="F347" s="156" t="s">
        <v>874</v>
      </c>
      <c r="G347" s="156" t="s">
        <v>148</v>
      </c>
    </row>
    <row r="348" spans="1:7" hidden="1" x14ac:dyDescent="0.25">
      <c r="A348" s="158">
        <v>3431</v>
      </c>
      <c r="B348" s="156" t="s">
        <v>181</v>
      </c>
      <c r="C348" s="156" t="s">
        <v>360</v>
      </c>
      <c r="D348" s="156" t="s">
        <v>203</v>
      </c>
      <c r="E348" s="156" t="s">
        <v>20</v>
      </c>
      <c r="F348" s="156" t="s">
        <v>875</v>
      </c>
      <c r="G348" s="156" t="s">
        <v>148</v>
      </c>
    </row>
    <row r="349" spans="1:7" hidden="1" x14ac:dyDescent="0.25">
      <c r="A349" s="158">
        <v>3519</v>
      </c>
      <c r="B349" s="156" t="s">
        <v>181</v>
      </c>
      <c r="C349" s="156" t="s">
        <v>361</v>
      </c>
      <c r="D349" s="156" t="s">
        <v>22</v>
      </c>
      <c r="E349" s="156" t="s">
        <v>15</v>
      </c>
      <c r="F349" s="156" t="s">
        <v>948</v>
      </c>
      <c r="G349" s="156" t="s">
        <v>148</v>
      </c>
    </row>
    <row r="350" spans="1:7" hidden="1" x14ac:dyDescent="0.25">
      <c r="A350" s="158">
        <v>3529</v>
      </c>
      <c r="B350" s="156" t="s">
        <v>181</v>
      </c>
      <c r="C350" s="156" t="s">
        <v>361</v>
      </c>
      <c r="D350" s="156" t="s">
        <v>22</v>
      </c>
      <c r="E350" s="156" t="s">
        <v>16</v>
      </c>
      <c r="F350" s="156" t="s">
        <v>949</v>
      </c>
      <c r="G350" s="156" t="s">
        <v>148</v>
      </c>
    </row>
    <row r="351" spans="1:7" hidden="1" x14ac:dyDescent="0.25">
      <c r="A351" s="158">
        <v>3539</v>
      </c>
      <c r="B351" s="156" t="s">
        <v>181</v>
      </c>
      <c r="C351" s="156" t="s">
        <v>361</v>
      </c>
      <c r="D351" s="156" t="s">
        <v>22</v>
      </c>
      <c r="E351" s="156" t="s">
        <v>17</v>
      </c>
      <c r="F351" s="156" t="s">
        <v>950</v>
      </c>
      <c r="G351" s="156" t="s">
        <v>148</v>
      </c>
    </row>
    <row r="352" spans="1:7" hidden="1" x14ac:dyDescent="0.25">
      <c r="A352" s="158">
        <v>3549</v>
      </c>
      <c r="B352" s="156" t="s">
        <v>181</v>
      </c>
      <c r="C352" s="156" t="s">
        <v>361</v>
      </c>
      <c r="D352" s="156" t="s">
        <v>22</v>
      </c>
      <c r="E352" s="156" t="s">
        <v>18</v>
      </c>
      <c r="F352" s="156" t="s">
        <v>951</v>
      </c>
      <c r="G352" s="156" t="s">
        <v>148</v>
      </c>
    </row>
    <row r="353" spans="1:7" hidden="1" x14ac:dyDescent="0.25">
      <c r="A353" s="158">
        <v>3559</v>
      </c>
      <c r="B353" s="156" t="s">
        <v>181</v>
      </c>
      <c r="C353" s="156" t="s">
        <v>361</v>
      </c>
      <c r="D353" s="156" t="s">
        <v>22</v>
      </c>
      <c r="E353" s="156" t="s">
        <v>19</v>
      </c>
      <c r="F353" s="156" t="s">
        <v>952</v>
      </c>
      <c r="G353" s="156" t="s">
        <v>148</v>
      </c>
    </row>
    <row r="354" spans="1:7" hidden="1" x14ac:dyDescent="0.25">
      <c r="A354" s="158">
        <v>3569</v>
      </c>
      <c r="B354" s="156" t="s">
        <v>181</v>
      </c>
      <c r="C354" s="156" t="s">
        <v>361</v>
      </c>
      <c r="D354" s="156" t="s">
        <v>22</v>
      </c>
      <c r="E354" s="156" t="s">
        <v>20</v>
      </c>
      <c r="F354" s="156" t="s">
        <v>953</v>
      </c>
      <c r="G354" s="156" t="s">
        <v>148</v>
      </c>
    </row>
    <row r="355" spans="1:7" hidden="1" x14ac:dyDescent="0.25">
      <c r="A355" s="158">
        <v>3196</v>
      </c>
      <c r="B355" s="156" t="s">
        <v>181</v>
      </c>
      <c r="C355" s="156" t="s">
        <v>361</v>
      </c>
      <c r="D355" s="156" t="s">
        <v>14</v>
      </c>
      <c r="E355" s="156" t="s">
        <v>15</v>
      </c>
      <c r="F355" s="156" t="s">
        <v>954</v>
      </c>
      <c r="G355" s="156" t="s">
        <v>148</v>
      </c>
    </row>
    <row r="356" spans="1:7" hidden="1" x14ac:dyDescent="0.25">
      <c r="A356" s="158">
        <v>3239</v>
      </c>
      <c r="B356" s="156" t="s">
        <v>181</v>
      </c>
      <c r="C356" s="156" t="s">
        <v>361</v>
      </c>
      <c r="D356" s="156" t="s">
        <v>14</v>
      </c>
      <c r="E356" s="156" t="s">
        <v>16</v>
      </c>
      <c r="F356" s="156" t="s">
        <v>955</v>
      </c>
      <c r="G356" s="156" t="s">
        <v>148</v>
      </c>
    </row>
    <row r="357" spans="1:7" hidden="1" x14ac:dyDescent="0.25">
      <c r="A357" s="158">
        <v>3282</v>
      </c>
      <c r="B357" s="156" t="s">
        <v>181</v>
      </c>
      <c r="C357" s="156" t="s">
        <v>361</v>
      </c>
      <c r="D357" s="156" t="s">
        <v>14</v>
      </c>
      <c r="E357" s="156" t="s">
        <v>17</v>
      </c>
      <c r="F357" s="156" t="s">
        <v>956</v>
      </c>
      <c r="G357" s="156" t="s">
        <v>148</v>
      </c>
    </row>
    <row r="358" spans="1:7" hidden="1" x14ac:dyDescent="0.25">
      <c r="A358" s="158">
        <v>3325</v>
      </c>
      <c r="B358" s="156" t="s">
        <v>181</v>
      </c>
      <c r="C358" s="156" t="s">
        <v>361</v>
      </c>
      <c r="D358" s="156" t="s">
        <v>14</v>
      </c>
      <c r="E358" s="156" t="s">
        <v>18</v>
      </c>
      <c r="F358" s="156" t="s">
        <v>957</v>
      </c>
      <c r="G358" s="156" t="s">
        <v>148</v>
      </c>
    </row>
    <row r="359" spans="1:7" hidden="1" x14ac:dyDescent="0.25">
      <c r="A359" s="158">
        <v>3368</v>
      </c>
      <c r="B359" s="156" t="s">
        <v>181</v>
      </c>
      <c r="C359" s="156" t="s">
        <v>361</v>
      </c>
      <c r="D359" s="156" t="s">
        <v>14</v>
      </c>
      <c r="E359" s="156" t="s">
        <v>19</v>
      </c>
      <c r="F359" s="156" t="s">
        <v>958</v>
      </c>
      <c r="G359" s="156" t="s">
        <v>148</v>
      </c>
    </row>
    <row r="360" spans="1:7" hidden="1" x14ac:dyDescent="0.25">
      <c r="A360" s="158">
        <v>3410</v>
      </c>
      <c r="B360" s="156" t="s">
        <v>181</v>
      </c>
      <c r="C360" s="156" t="s">
        <v>361</v>
      </c>
      <c r="D360" s="156" t="s">
        <v>14</v>
      </c>
      <c r="E360" s="156" t="s">
        <v>20</v>
      </c>
      <c r="F360" s="156" t="s">
        <v>959</v>
      </c>
      <c r="G360" s="156" t="s">
        <v>148</v>
      </c>
    </row>
    <row r="361" spans="1:7" hidden="1" x14ac:dyDescent="0.25">
      <c r="A361" s="158">
        <v>3452</v>
      </c>
      <c r="B361" s="156" t="s">
        <v>181</v>
      </c>
      <c r="C361" s="156" t="s">
        <v>361</v>
      </c>
      <c r="D361" s="156" t="s">
        <v>14</v>
      </c>
      <c r="E361" s="156" t="s">
        <v>189</v>
      </c>
      <c r="F361" s="156" t="s">
        <v>960</v>
      </c>
      <c r="G361" s="156" t="s">
        <v>148</v>
      </c>
    </row>
    <row r="362" spans="1:7" hidden="1" x14ac:dyDescent="0.25">
      <c r="A362" s="158">
        <v>3474</v>
      </c>
      <c r="B362" s="156" t="s">
        <v>181</v>
      </c>
      <c r="C362" s="156" t="s">
        <v>361</v>
      </c>
      <c r="D362" s="156" t="s">
        <v>14</v>
      </c>
      <c r="E362" s="156" t="s">
        <v>191</v>
      </c>
      <c r="F362" s="156" t="s">
        <v>961</v>
      </c>
      <c r="G362" s="156" t="s">
        <v>148</v>
      </c>
    </row>
    <row r="363" spans="1:7" hidden="1" x14ac:dyDescent="0.25">
      <c r="A363" s="158">
        <v>3496</v>
      </c>
      <c r="B363" s="156" t="s">
        <v>181</v>
      </c>
      <c r="C363" s="156" t="s">
        <v>361</v>
      </c>
      <c r="D363" s="156" t="s">
        <v>14</v>
      </c>
      <c r="E363" s="156" t="s">
        <v>14</v>
      </c>
      <c r="F363" s="156" t="s">
        <v>962</v>
      </c>
      <c r="G363" s="156" t="s">
        <v>148</v>
      </c>
    </row>
    <row r="364" spans="1:7" hidden="1" x14ac:dyDescent="0.25">
      <c r="A364" s="158">
        <v>3207</v>
      </c>
      <c r="B364" s="156" t="s">
        <v>181</v>
      </c>
      <c r="C364" s="156" t="s">
        <v>361</v>
      </c>
      <c r="D364" s="156" t="s">
        <v>21</v>
      </c>
      <c r="E364" s="156" t="s">
        <v>15</v>
      </c>
      <c r="F364" s="156" t="s">
        <v>963</v>
      </c>
      <c r="G364" s="156" t="s">
        <v>148</v>
      </c>
    </row>
    <row r="365" spans="1:7" hidden="1" x14ac:dyDescent="0.25">
      <c r="A365" s="158">
        <v>3250</v>
      </c>
      <c r="B365" s="156" t="s">
        <v>181</v>
      </c>
      <c r="C365" s="156" t="s">
        <v>361</v>
      </c>
      <c r="D365" s="156" t="s">
        <v>21</v>
      </c>
      <c r="E365" s="156" t="s">
        <v>16</v>
      </c>
      <c r="F365" s="156" t="s">
        <v>964</v>
      </c>
      <c r="G365" s="156" t="s">
        <v>148</v>
      </c>
    </row>
    <row r="366" spans="1:7" hidden="1" x14ac:dyDescent="0.25">
      <c r="A366" s="158">
        <v>3293</v>
      </c>
      <c r="B366" s="156" t="s">
        <v>181</v>
      </c>
      <c r="C366" s="156" t="s">
        <v>361</v>
      </c>
      <c r="D366" s="156" t="s">
        <v>21</v>
      </c>
      <c r="E366" s="156" t="s">
        <v>17</v>
      </c>
      <c r="F366" s="156" t="s">
        <v>965</v>
      </c>
      <c r="G366" s="156" t="s">
        <v>148</v>
      </c>
    </row>
    <row r="367" spans="1:7" hidden="1" x14ac:dyDescent="0.25">
      <c r="A367" s="158">
        <v>3336</v>
      </c>
      <c r="B367" s="156" t="s">
        <v>181</v>
      </c>
      <c r="C367" s="156" t="s">
        <v>361</v>
      </c>
      <c r="D367" s="156" t="s">
        <v>21</v>
      </c>
      <c r="E367" s="156" t="s">
        <v>18</v>
      </c>
      <c r="F367" s="156" t="s">
        <v>966</v>
      </c>
      <c r="G367" s="156" t="s">
        <v>148</v>
      </c>
    </row>
    <row r="368" spans="1:7" hidden="1" x14ac:dyDescent="0.25">
      <c r="A368" s="158">
        <v>3379</v>
      </c>
      <c r="B368" s="156" t="s">
        <v>181</v>
      </c>
      <c r="C368" s="156" t="s">
        <v>361</v>
      </c>
      <c r="D368" s="156" t="s">
        <v>21</v>
      </c>
      <c r="E368" s="156" t="s">
        <v>19</v>
      </c>
      <c r="F368" s="156" t="s">
        <v>967</v>
      </c>
      <c r="G368" s="156" t="s">
        <v>148</v>
      </c>
    </row>
    <row r="369" spans="1:7" hidden="1" x14ac:dyDescent="0.25">
      <c r="A369" s="158">
        <v>3421</v>
      </c>
      <c r="B369" s="156" t="s">
        <v>181</v>
      </c>
      <c r="C369" s="156" t="s">
        <v>361</v>
      </c>
      <c r="D369" s="156" t="s">
        <v>21</v>
      </c>
      <c r="E369" s="156" t="s">
        <v>20</v>
      </c>
      <c r="F369" s="156" t="s">
        <v>968</v>
      </c>
      <c r="G369" s="156" t="s">
        <v>148</v>
      </c>
    </row>
    <row r="370" spans="1:7" hidden="1" x14ac:dyDescent="0.25">
      <c r="A370" s="158">
        <v>3463</v>
      </c>
      <c r="B370" s="156" t="s">
        <v>181</v>
      </c>
      <c r="C370" s="156" t="s">
        <v>361</v>
      </c>
      <c r="D370" s="156" t="s">
        <v>21</v>
      </c>
      <c r="E370" s="156" t="s">
        <v>189</v>
      </c>
      <c r="F370" s="156" t="s">
        <v>969</v>
      </c>
      <c r="G370" s="156" t="s">
        <v>148</v>
      </c>
    </row>
    <row r="371" spans="1:7" hidden="1" x14ac:dyDescent="0.25">
      <c r="A371" s="158">
        <v>3485</v>
      </c>
      <c r="B371" s="156" t="s">
        <v>181</v>
      </c>
      <c r="C371" s="156" t="s">
        <v>361</v>
      </c>
      <c r="D371" s="156" t="s">
        <v>21</v>
      </c>
      <c r="E371" s="156" t="s">
        <v>191</v>
      </c>
      <c r="F371" s="156" t="s">
        <v>970</v>
      </c>
      <c r="G371" s="156" t="s">
        <v>148</v>
      </c>
    </row>
    <row r="372" spans="1:7" hidden="1" x14ac:dyDescent="0.25">
      <c r="A372" s="158">
        <v>3507</v>
      </c>
      <c r="B372" s="156" t="s">
        <v>181</v>
      </c>
      <c r="C372" s="156" t="s">
        <v>361</v>
      </c>
      <c r="D372" s="156" t="s">
        <v>21</v>
      </c>
      <c r="E372" s="156" t="s">
        <v>14</v>
      </c>
      <c r="F372" s="156" t="s">
        <v>971</v>
      </c>
      <c r="G372" s="156" t="s">
        <v>148</v>
      </c>
    </row>
    <row r="373" spans="1:7" hidden="1" x14ac:dyDescent="0.25">
      <c r="A373" s="158">
        <v>3218</v>
      </c>
      <c r="B373" s="156" t="s">
        <v>181</v>
      </c>
      <c r="C373" s="156" t="s">
        <v>361</v>
      </c>
      <c r="D373" s="156" t="s">
        <v>203</v>
      </c>
      <c r="E373" s="156" t="s">
        <v>15</v>
      </c>
      <c r="F373" s="156" t="s">
        <v>948</v>
      </c>
      <c r="G373" s="156" t="s">
        <v>148</v>
      </c>
    </row>
    <row r="374" spans="1:7" hidden="1" x14ac:dyDescent="0.25">
      <c r="A374" s="158">
        <v>3261</v>
      </c>
      <c r="B374" s="156" t="s">
        <v>181</v>
      </c>
      <c r="C374" s="156" t="s">
        <v>361</v>
      </c>
      <c r="D374" s="156" t="s">
        <v>203</v>
      </c>
      <c r="E374" s="156" t="s">
        <v>16</v>
      </c>
      <c r="F374" s="156" t="s">
        <v>949</v>
      </c>
      <c r="G374" s="156" t="s">
        <v>148</v>
      </c>
    </row>
    <row r="375" spans="1:7" hidden="1" x14ac:dyDescent="0.25">
      <c r="A375" s="158">
        <v>3304</v>
      </c>
      <c r="B375" s="156" t="s">
        <v>181</v>
      </c>
      <c r="C375" s="156" t="s">
        <v>361</v>
      </c>
      <c r="D375" s="156" t="s">
        <v>203</v>
      </c>
      <c r="E375" s="156" t="s">
        <v>17</v>
      </c>
      <c r="F375" s="156" t="s">
        <v>950</v>
      </c>
      <c r="G375" s="156" t="s">
        <v>148</v>
      </c>
    </row>
    <row r="376" spans="1:7" hidden="1" x14ac:dyDescent="0.25">
      <c r="A376" s="158">
        <v>3347</v>
      </c>
      <c r="B376" s="156" t="s">
        <v>181</v>
      </c>
      <c r="C376" s="156" t="s">
        <v>361</v>
      </c>
      <c r="D376" s="156" t="s">
        <v>203</v>
      </c>
      <c r="E376" s="156" t="s">
        <v>18</v>
      </c>
      <c r="F376" s="156" t="s">
        <v>951</v>
      </c>
      <c r="G376" s="156" t="s">
        <v>148</v>
      </c>
    </row>
    <row r="377" spans="1:7" hidden="1" x14ac:dyDescent="0.25">
      <c r="A377" s="158">
        <v>3390</v>
      </c>
      <c r="B377" s="156" t="s">
        <v>181</v>
      </c>
      <c r="C377" s="156" t="s">
        <v>361</v>
      </c>
      <c r="D377" s="156" t="s">
        <v>203</v>
      </c>
      <c r="E377" s="156" t="s">
        <v>19</v>
      </c>
      <c r="F377" s="156" t="s">
        <v>952</v>
      </c>
      <c r="G377" s="156" t="s">
        <v>148</v>
      </c>
    </row>
    <row r="378" spans="1:7" hidden="1" x14ac:dyDescent="0.25">
      <c r="A378" s="158">
        <v>3432</v>
      </c>
      <c r="B378" s="156" t="s">
        <v>181</v>
      </c>
      <c r="C378" s="156" t="s">
        <v>361</v>
      </c>
      <c r="D378" s="156" t="s">
        <v>203</v>
      </c>
      <c r="E378" s="156" t="s">
        <v>20</v>
      </c>
      <c r="F378" s="156" t="s">
        <v>953</v>
      </c>
      <c r="G378" s="156" t="s">
        <v>148</v>
      </c>
    </row>
    <row r="379" spans="1:7" hidden="1" x14ac:dyDescent="0.25">
      <c r="A379" s="158">
        <v>3181</v>
      </c>
      <c r="B379" s="156" t="s">
        <v>181</v>
      </c>
      <c r="C379" s="156" t="s">
        <v>150</v>
      </c>
      <c r="D379" s="156" t="s">
        <v>151</v>
      </c>
      <c r="E379" s="158">
        <v>4</v>
      </c>
      <c r="F379" s="156" t="s">
        <v>972</v>
      </c>
      <c r="G379" s="156" t="s">
        <v>148</v>
      </c>
    </row>
    <row r="380" spans="1:7" hidden="1" x14ac:dyDescent="0.25">
      <c r="A380" s="158">
        <v>3197</v>
      </c>
      <c r="B380" s="156" t="s">
        <v>181</v>
      </c>
      <c r="C380" s="156" t="s">
        <v>577</v>
      </c>
      <c r="D380" s="156" t="s">
        <v>14</v>
      </c>
      <c r="E380" s="156" t="s">
        <v>15</v>
      </c>
      <c r="F380" s="156" t="s">
        <v>973</v>
      </c>
      <c r="G380" s="156" t="s">
        <v>148</v>
      </c>
    </row>
    <row r="381" spans="1:7" hidden="1" x14ac:dyDescent="0.25">
      <c r="A381" s="158">
        <v>3240</v>
      </c>
      <c r="B381" s="156" t="s">
        <v>181</v>
      </c>
      <c r="C381" s="156" t="s">
        <v>577</v>
      </c>
      <c r="D381" s="156" t="s">
        <v>14</v>
      </c>
      <c r="E381" s="156" t="s">
        <v>16</v>
      </c>
      <c r="F381" s="156" t="s">
        <v>974</v>
      </c>
      <c r="G381" s="156" t="s">
        <v>148</v>
      </c>
    </row>
    <row r="382" spans="1:7" hidden="1" x14ac:dyDescent="0.25">
      <c r="A382" s="158">
        <v>3283</v>
      </c>
      <c r="B382" s="156" t="s">
        <v>181</v>
      </c>
      <c r="C382" s="156" t="s">
        <v>577</v>
      </c>
      <c r="D382" s="156" t="s">
        <v>14</v>
      </c>
      <c r="E382" s="156" t="s">
        <v>17</v>
      </c>
      <c r="F382" s="156" t="s">
        <v>975</v>
      </c>
      <c r="G382" s="156" t="s">
        <v>148</v>
      </c>
    </row>
    <row r="383" spans="1:7" hidden="1" x14ac:dyDescent="0.25">
      <c r="A383" s="158">
        <v>3326</v>
      </c>
      <c r="B383" s="156" t="s">
        <v>181</v>
      </c>
      <c r="C383" s="156" t="s">
        <v>577</v>
      </c>
      <c r="D383" s="156" t="s">
        <v>14</v>
      </c>
      <c r="E383" s="156" t="s">
        <v>18</v>
      </c>
      <c r="F383" s="156" t="s">
        <v>976</v>
      </c>
      <c r="G383" s="156" t="s">
        <v>148</v>
      </c>
    </row>
    <row r="384" spans="1:7" hidden="1" x14ac:dyDescent="0.25">
      <c r="A384" s="158">
        <v>3369</v>
      </c>
      <c r="B384" s="156" t="s">
        <v>181</v>
      </c>
      <c r="C384" s="156" t="s">
        <v>577</v>
      </c>
      <c r="D384" s="156" t="s">
        <v>14</v>
      </c>
      <c r="E384" s="156" t="s">
        <v>19</v>
      </c>
      <c r="F384" s="156" t="s">
        <v>977</v>
      </c>
      <c r="G384" s="156" t="s">
        <v>148</v>
      </c>
    </row>
    <row r="385" spans="1:7" hidden="1" x14ac:dyDescent="0.25">
      <c r="A385" s="158">
        <v>3411</v>
      </c>
      <c r="B385" s="156" t="s">
        <v>181</v>
      </c>
      <c r="C385" s="156" t="s">
        <v>577</v>
      </c>
      <c r="D385" s="156" t="s">
        <v>14</v>
      </c>
      <c r="E385" s="156" t="s">
        <v>20</v>
      </c>
      <c r="F385" s="156" t="s">
        <v>978</v>
      </c>
      <c r="G385" s="156" t="s">
        <v>148</v>
      </c>
    </row>
    <row r="386" spans="1:7" hidden="1" x14ac:dyDescent="0.25">
      <c r="A386" s="158">
        <v>3453</v>
      </c>
      <c r="B386" s="156" t="s">
        <v>181</v>
      </c>
      <c r="C386" s="156" t="s">
        <v>577</v>
      </c>
      <c r="D386" s="156" t="s">
        <v>14</v>
      </c>
      <c r="E386" s="156" t="s">
        <v>189</v>
      </c>
      <c r="F386" s="156" t="s">
        <v>819</v>
      </c>
      <c r="G386" s="156" t="s">
        <v>148</v>
      </c>
    </row>
    <row r="387" spans="1:7" hidden="1" x14ac:dyDescent="0.25">
      <c r="A387" s="158">
        <v>3475</v>
      </c>
      <c r="B387" s="156" t="s">
        <v>181</v>
      </c>
      <c r="C387" s="156" t="s">
        <v>577</v>
      </c>
      <c r="D387" s="156" t="s">
        <v>14</v>
      </c>
      <c r="E387" s="156" t="s">
        <v>191</v>
      </c>
      <c r="F387" s="156" t="s">
        <v>820</v>
      </c>
      <c r="G387" s="156" t="s">
        <v>148</v>
      </c>
    </row>
    <row r="388" spans="1:7" hidden="1" x14ac:dyDescent="0.25">
      <c r="A388" s="158">
        <v>3497</v>
      </c>
      <c r="B388" s="156" t="s">
        <v>181</v>
      </c>
      <c r="C388" s="156" t="s">
        <v>577</v>
      </c>
      <c r="D388" s="156" t="s">
        <v>14</v>
      </c>
      <c r="E388" s="156" t="s">
        <v>14</v>
      </c>
      <c r="F388" s="156" t="s">
        <v>821</v>
      </c>
      <c r="G388" s="156" t="s">
        <v>148</v>
      </c>
    </row>
    <row r="389" spans="1:7" hidden="1" x14ac:dyDescent="0.25">
      <c r="A389" s="158">
        <v>3208</v>
      </c>
      <c r="B389" s="156" t="s">
        <v>181</v>
      </c>
      <c r="C389" s="156" t="s">
        <v>577</v>
      </c>
      <c r="D389" s="156" t="s">
        <v>21</v>
      </c>
      <c r="E389" s="156" t="s">
        <v>15</v>
      </c>
      <c r="F389" s="156" t="s">
        <v>979</v>
      </c>
      <c r="G389" s="156" t="s">
        <v>148</v>
      </c>
    </row>
    <row r="390" spans="1:7" hidden="1" x14ac:dyDescent="0.25">
      <c r="A390" s="158">
        <v>3251</v>
      </c>
      <c r="B390" s="156" t="s">
        <v>181</v>
      </c>
      <c r="C390" s="156" t="s">
        <v>577</v>
      </c>
      <c r="D390" s="156" t="s">
        <v>21</v>
      </c>
      <c r="E390" s="156" t="s">
        <v>16</v>
      </c>
      <c r="F390" s="156" t="s">
        <v>980</v>
      </c>
      <c r="G390" s="156" t="s">
        <v>148</v>
      </c>
    </row>
    <row r="391" spans="1:7" hidden="1" x14ac:dyDescent="0.25">
      <c r="A391" s="158">
        <v>3294</v>
      </c>
      <c r="B391" s="156" t="s">
        <v>181</v>
      </c>
      <c r="C391" s="156" t="s">
        <v>577</v>
      </c>
      <c r="D391" s="156" t="s">
        <v>21</v>
      </c>
      <c r="E391" s="156" t="s">
        <v>17</v>
      </c>
      <c r="F391" s="156" t="s">
        <v>981</v>
      </c>
      <c r="G391" s="156" t="s">
        <v>148</v>
      </c>
    </row>
    <row r="392" spans="1:7" hidden="1" x14ac:dyDescent="0.25">
      <c r="A392" s="158">
        <v>3337</v>
      </c>
      <c r="B392" s="156" t="s">
        <v>181</v>
      </c>
      <c r="C392" s="156" t="s">
        <v>577</v>
      </c>
      <c r="D392" s="156" t="s">
        <v>21</v>
      </c>
      <c r="E392" s="156" t="s">
        <v>18</v>
      </c>
      <c r="F392" s="156" t="s">
        <v>982</v>
      </c>
      <c r="G392" s="156" t="s">
        <v>148</v>
      </c>
    </row>
    <row r="393" spans="1:7" hidden="1" x14ac:dyDescent="0.25">
      <c r="A393" s="158">
        <v>3380</v>
      </c>
      <c r="B393" s="156" t="s">
        <v>181</v>
      </c>
      <c r="C393" s="156" t="s">
        <v>577</v>
      </c>
      <c r="D393" s="156" t="s">
        <v>21</v>
      </c>
      <c r="E393" s="156" t="s">
        <v>19</v>
      </c>
      <c r="F393" s="156" t="s">
        <v>983</v>
      </c>
      <c r="G393" s="156" t="s">
        <v>148</v>
      </c>
    </row>
    <row r="394" spans="1:7" hidden="1" x14ac:dyDescent="0.25">
      <c r="A394" s="158">
        <v>3422</v>
      </c>
      <c r="B394" s="156" t="s">
        <v>181</v>
      </c>
      <c r="C394" s="156" t="s">
        <v>577</v>
      </c>
      <c r="D394" s="156" t="s">
        <v>21</v>
      </c>
      <c r="E394" s="156" t="s">
        <v>20</v>
      </c>
      <c r="F394" s="156" t="s">
        <v>984</v>
      </c>
      <c r="G394" s="156" t="s">
        <v>148</v>
      </c>
    </row>
    <row r="395" spans="1:7" hidden="1" x14ac:dyDescent="0.25">
      <c r="A395" s="158">
        <v>3464</v>
      </c>
      <c r="B395" s="156" t="s">
        <v>181</v>
      </c>
      <c r="C395" s="156" t="s">
        <v>577</v>
      </c>
      <c r="D395" s="156" t="s">
        <v>21</v>
      </c>
      <c r="E395" s="156" t="s">
        <v>189</v>
      </c>
      <c r="F395" s="156" t="s">
        <v>828</v>
      </c>
      <c r="G395" s="156" t="s">
        <v>148</v>
      </c>
    </row>
    <row r="396" spans="1:7" hidden="1" x14ac:dyDescent="0.25">
      <c r="A396" s="158">
        <v>3486</v>
      </c>
      <c r="B396" s="156" t="s">
        <v>181</v>
      </c>
      <c r="C396" s="156" t="s">
        <v>577</v>
      </c>
      <c r="D396" s="156" t="s">
        <v>21</v>
      </c>
      <c r="E396" s="156" t="s">
        <v>191</v>
      </c>
      <c r="F396" s="156" t="s">
        <v>829</v>
      </c>
      <c r="G396" s="156" t="s">
        <v>148</v>
      </c>
    </row>
    <row r="397" spans="1:7" hidden="1" x14ac:dyDescent="0.25">
      <c r="A397" s="158">
        <v>3508</v>
      </c>
      <c r="B397" s="156" t="s">
        <v>181</v>
      </c>
      <c r="C397" s="156" t="s">
        <v>577</v>
      </c>
      <c r="D397" s="156" t="s">
        <v>21</v>
      </c>
      <c r="E397" s="156" t="s">
        <v>14</v>
      </c>
      <c r="F397" s="156" t="s">
        <v>830</v>
      </c>
      <c r="G397" s="156" t="s">
        <v>148</v>
      </c>
    </row>
    <row r="398" spans="1:7" hidden="1" x14ac:dyDescent="0.25">
      <c r="A398" s="158">
        <v>3219</v>
      </c>
      <c r="B398" s="156" t="s">
        <v>181</v>
      </c>
      <c r="C398" s="156" t="s">
        <v>577</v>
      </c>
      <c r="D398" s="156" t="s">
        <v>203</v>
      </c>
      <c r="E398" s="156" t="s">
        <v>15</v>
      </c>
      <c r="F398" s="156" t="s">
        <v>985</v>
      </c>
      <c r="G398" s="156" t="s">
        <v>148</v>
      </c>
    </row>
    <row r="399" spans="1:7" hidden="1" x14ac:dyDescent="0.25">
      <c r="A399" s="158">
        <v>3262</v>
      </c>
      <c r="B399" s="156" t="s">
        <v>181</v>
      </c>
      <c r="C399" s="156" t="s">
        <v>577</v>
      </c>
      <c r="D399" s="156" t="s">
        <v>203</v>
      </c>
      <c r="E399" s="156" t="s">
        <v>16</v>
      </c>
      <c r="F399" s="156" t="s">
        <v>986</v>
      </c>
      <c r="G399" s="156" t="s">
        <v>148</v>
      </c>
    </row>
    <row r="400" spans="1:7" hidden="1" x14ac:dyDescent="0.25">
      <c r="A400" s="158">
        <v>3305</v>
      </c>
      <c r="B400" s="156" t="s">
        <v>181</v>
      </c>
      <c r="C400" s="156" t="s">
        <v>577</v>
      </c>
      <c r="D400" s="156" t="s">
        <v>203</v>
      </c>
      <c r="E400" s="156" t="s">
        <v>17</v>
      </c>
      <c r="F400" s="156" t="s">
        <v>987</v>
      </c>
      <c r="G400" s="156" t="s">
        <v>148</v>
      </c>
    </row>
    <row r="401" spans="1:7" hidden="1" x14ac:dyDescent="0.25">
      <c r="A401" s="158">
        <v>3348</v>
      </c>
      <c r="B401" s="156" t="s">
        <v>181</v>
      </c>
      <c r="C401" s="156" t="s">
        <v>577</v>
      </c>
      <c r="D401" s="156" t="s">
        <v>203</v>
      </c>
      <c r="E401" s="156" t="s">
        <v>18</v>
      </c>
      <c r="F401" s="156" t="s">
        <v>988</v>
      </c>
      <c r="G401" s="156" t="s">
        <v>148</v>
      </c>
    </row>
    <row r="402" spans="1:7" hidden="1" x14ac:dyDescent="0.25">
      <c r="A402" s="158">
        <v>3391</v>
      </c>
      <c r="B402" s="156" t="s">
        <v>181</v>
      </c>
      <c r="C402" s="156" t="s">
        <v>577</v>
      </c>
      <c r="D402" s="156" t="s">
        <v>203</v>
      </c>
      <c r="E402" s="156" t="s">
        <v>19</v>
      </c>
      <c r="F402" s="156" t="s">
        <v>989</v>
      </c>
      <c r="G402" s="156" t="s">
        <v>148</v>
      </c>
    </row>
    <row r="403" spans="1:7" hidden="1" x14ac:dyDescent="0.25">
      <c r="A403" s="158">
        <v>3433</v>
      </c>
      <c r="B403" s="156" t="s">
        <v>181</v>
      </c>
      <c r="C403" s="156" t="s">
        <v>577</v>
      </c>
      <c r="D403" s="156" t="s">
        <v>203</v>
      </c>
      <c r="E403" s="156" t="s">
        <v>20</v>
      </c>
      <c r="F403" s="156" t="s">
        <v>990</v>
      </c>
      <c r="G403" s="156" t="s">
        <v>148</v>
      </c>
    </row>
    <row r="404" spans="1:7" hidden="1" x14ac:dyDescent="0.25">
      <c r="A404" s="158">
        <v>3220</v>
      </c>
      <c r="B404" s="156" t="s">
        <v>181</v>
      </c>
      <c r="C404" s="156" t="s">
        <v>577</v>
      </c>
      <c r="D404" s="156" t="s">
        <v>596</v>
      </c>
      <c r="E404" s="156" t="s">
        <v>15</v>
      </c>
      <c r="F404" s="156" t="s">
        <v>991</v>
      </c>
      <c r="G404" s="156" t="s">
        <v>148</v>
      </c>
    </row>
    <row r="405" spans="1:7" hidden="1" x14ac:dyDescent="0.25">
      <c r="A405" s="158">
        <v>3263</v>
      </c>
      <c r="B405" s="156" t="s">
        <v>181</v>
      </c>
      <c r="C405" s="156" t="s">
        <v>577</v>
      </c>
      <c r="D405" s="156" t="s">
        <v>596</v>
      </c>
      <c r="E405" s="156" t="s">
        <v>16</v>
      </c>
      <c r="F405" s="156" t="s">
        <v>992</v>
      </c>
      <c r="G405" s="156" t="s">
        <v>148</v>
      </c>
    </row>
    <row r="406" spans="1:7" hidden="1" x14ac:dyDescent="0.25">
      <c r="A406" s="158">
        <v>3306</v>
      </c>
      <c r="B406" s="156" t="s">
        <v>181</v>
      </c>
      <c r="C406" s="156" t="s">
        <v>577</v>
      </c>
      <c r="D406" s="156" t="s">
        <v>596</v>
      </c>
      <c r="E406" s="156" t="s">
        <v>17</v>
      </c>
      <c r="F406" s="156" t="s">
        <v>993</v>
      </c>
      <c r="G406" s="156" t="s">
        <v>148</v>
      </c>
    </row>
  </sheetData>
  <autoFilter ref="A2:G406">
    <filterColumn colId="1">
      <filters>
        <filter val="QUADRO DE PESSOAL (P)"/>
      </filters>
    </filterColumn>
    <filterColumn colId="2">
      <filters>
        <filter val="AUDITOR DE CONTROLE EXTERNO (1)"/>
      </filters>
    </filterColumn>
    <filterColumn colId="3">
      <filters>
        <filter val="ESPECIAL"/>
      </filters>
    </filterColumn>
  </autoFilter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9"/>
  <sheetViews>
    <sheetView topLeftCell="A109" zoomScale="85" zoomScaleNormal="85" workbookViewId="0">
      <selection activeCell="D132" sqref="D132:G132"/>
    </sheetView>
  </sheetViews>
  <sheetFormatPr defaultRowHeight="15" x14ac:dyDescent="0.25"/>
  <cols>
    <col min="2" max="2" width="9.140625" style="13"/>
    <col min="3" max="6" width="13.85546875" style="13" customWidth="1"/>
    <col min="7" max="9" width="13.85546875" customWidth="1"/>
    <col min="10" max="10" width="17.140625" customWidth="1"/>
  </cols>
  <sheetData>
    <row r="1" spans="2:9" x14ac:dyDescent="0.25">
      <c r="B1" s="13" t="s">
        <v>0</v>
      </c>
    </row>
    <row r="2" spans="2:9" ht="45" x14ac:dyDescent="0.25">
      <c r="B2" s="13" t="s">
        <v>1</v>
      </c>
    </row>
    <row r="3" spans="2:9" ht="165" x14ac:dyDescent="0.25">
      <c r="B3" s="13" t="s">
        <v>2</v>
      </c>
    </row>
    <row r="5" spans="2:9" x14ac:dyDescent="0.25">
      <c r="B5" s="204" t="s">
        <v>3</v>
      </c>
      <c r="C5" s="204"/>
      <c r="D5" s="204"/>
      <c r="E5" s="204"/>
      <c r="F5" s="204"/>
      <c r="G5" s="204"/>
      <c r="H5" s="204"/>
      <c r="I5" s="204"/>
    </row>
    <row r="6" spans="2:9" x14ac:dyDescent="0.25">
      <c r="B6" s="183" t="s">
        <v>4</v>
      </c>
      <c r="C6" s="183"/>
      <c r="D6" s="224" t="s">
        <v>5</v>
      </c>
      <c r="E6" s="224"/>
      <c r="F6" s="224"/>
      <c r="G6" s="183" t="s">
        <v>6</v>
      </c>
      <c r="H6" s="183"/>
      <c r="I6" s="2" t="s">
        <v>7</v>
      </c>
    </row>
    <row r="7" spans="2:9" ht="45" x14ac:dyDescent="0.25">
      <c r="B7" s="183"/>
      <c r="C7" s="183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4" t="s">
        <v>11</v>
      </c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4" t="s">
        <v>13</v>
      </c>
      <c r="I8" s="4" t="s">
        <v>13</v>
      </c>
    </row>
    <row r="9" spans="2:9" x14ac:dyDescent="0.25">
      <c r="B9" s="223" t="s">
        <v>14</v>
      </c>
      <c r="C9" s="1" t="s">
        <v>15</v>
      </c>
      <c r="D9" s="14">
        <v>7128.92</v>
      </c>
      <c r="E9" s="14">
        <v>3628.48</v>
      </c>
      <c r="F9" s="14">
        <v>2310.7800000000002</v>
      </c>
      <c r="G9" s="3"/>
      <c r="H9" s="3"/>
      <c r="I9" s="3"/>
    </row>
    <row r="10" spans="2:9" x14ac:dyDescent="0.25">
      <c r="B10" s="223"/>
      <c r="C10" s="1" t="s">
        <v>16</v>
      </c>
      <c r="D10" s="14">
        <v>7342.79</v>
      </c>
      <c r="E10" s="14">
        <v>3737.33</v>
      </c>
      <c r="F10" s="14">
        <v>2380.1</v>
      </c>
      <c r="G10" s="3"/>
      <c r="H10" s="3"/>
      <c r="I10" s="3"/>
    </row>
    <row r="11" spans="2:9" x14ac:dyDescent="0.25">
      <c r="B11" s="223"/>
      <c r="C11" s="1" t="s">
        <v>17</v>
      </c>
      <c r="D11" s="14">
        <v>7563.07</v>
      </c>
      <c r="E11" s="14">
        <v>3849.45</v>
      </c>
      <c r="F11" s="14">
        <v>2451.5</v>
      </c>
      <c r="G11" s="3"/>
      <c r="H11" s="3"/>
      <c r="I11" s="3"/>
    </row>
    <row r="12" spans="2:9" x14ac:dyDescent="0.25">
      <c r="B12" s="223"/>
      <c r="C12" s="1" t="s">
        <v>18</v>
      </c>
      <c r="D12" s="14">
        <v>7789.96</v>
      </c>
      <c r="E12" s="14">
        <v>3964.94</v>
      </c>
      <c r="F12" s="14">
        <v>2525.0500000000002</v>
      </c>
      <c r="G12" s="3">
        <v>8958.4500000000007</v>
      </c>
      <c r="H12" s="3">
        <v>4559.68</v>
      </c>
      <c r="I12" s="3"/>
    </row>
    <row r="13" spans="2:9" x14ac:dyDescent="0.25">
      <c r="B13" s="223"/>
      <c r="C13" s="1" t="s">
        <v>19</v>
      </c>
      <c r="D13" s="14">
        <v>8023.66</v>
      </c>
      <c r="E13" s="14">
        <v>4083.89</v>
      </c>
      <c r="F13" s="14">
        <v>2600.8000000000002</v>
      </c>
      <c r="G13" s="3">
        <v>9227.2099999999991</v>
      </c>
      <c r="H13" s="3">
        <v>4696.47</v>
      </c>
      <c r="I13" s="3"/>
    </row>
    <row r="14" spans="2:9" x14ac:dyDescent="0.25">
      <c r="B14" s="223"/>
      <c r="C14" s="1" t="s">
        <v>20</v>
      </c>
      <c r="D14" s="14">
        <v>8264.3700000000008</v>
      </c>
      <c r="E14" s="14">
        <v>4206.3999999999996</v>
      </c>
      <c r="F14" s="14">
        <v>2678.82</v>
      </c>
      <c r="G14" s="3">
        <v>9504.0300000000007</v>
      </c>
      <c r="H14" s="3">
        <v>4837.37</v>
      </c>
      <c r="I14" s="2"/>
    </row>
    <row r="15" spans="2:9" x14ac:dyDescent="0.25">
      <c r="B15" s="183" t="s">
        <v>21</v>
      </c>
      <c r="C15" s="1" t="s">
        <v>15</v>
      </c>
      <c r="D15" s="14">
        <v>8677.59</v>
      </c>
      <c r="E15" s="14">
        <v>4416.72</v>
      </c>
      <c r="F15" s="14">
        <v>2812.76</v>
      </c>
      <c r="G15" s="3">
        <v>9979.23</v>
      </c>
      <c r="H15" s="3">
        <v>5079.24</v>
      </c>
      <c r="I15" s="2"/>
    </row>
    <row r="16" spans="2:9" x14ac:dyDescent="0.25">
      <c r="B16" s="183"/>
      <c r="C16" s="1" t="s">
        <v>16</v>
      </c>
      <c r="D16" s="14">
        <v>8937.92</v>
      </c>
      <c r="E16" s="14">
        <v>4549.22</v>
      </c>
      <c r="F16" s="14">
        <v>2897.14</v>
      </c>
      <c r="G16" s="3">
        <v>10278.61</v>
      </c>
      <c r="H16" s="3">
        <v>5231.6099999999997</v>
      </c>
      <c r="I16" s="2"/>
    </row>
    <row r="17" spans="2:9" x14ac:dyDescent="0.25">
      <c r="B17" s="183"/>
      <c r="C17" s="1" t="s">
        <v>17</v>
      </c>
      <c r="D17" s="14">
        <v>9206.06</v>
      </c>
      <c r="E17" s="14">
        <v>4685.7</v>
      </c>
      <c r="F17" s="14">
        <v>2984.05</v>
      </c>
      <c r="G17" s="3">
        <v>10586.97</v>
      </c>
      <c r="H17" s="3">
        <v>5388.57</v>
      </c>
      <c r="I17" s="2"/>
    </row>
    <row r="18" spans="2:9" x14ac:dyDescent="0.25">
      <c r="B18" s="183"/>
      <c r="C18" s="1" t="s">
        <v>18</v>
      </c>
      <c r="D18" s="14">
        <v>9482.24</v>
      </c>
      <c r="E18" s="14">
        <v>4826.2700000000004</v>
      </c>
      <c r="F18" s="14">
        <v>3073.57</v>
      </c>
      <c r="G18" s="3">
        <v>10904.58</v>
      </c>
      <c r="H18" s="3">
        <v>5550.22</v>
      </c>
      <c r="I18" s="3">
        <v>12540.26</v>
      </c>
    </row>
    <row r="19" spans="2:9" x14ac:dyDescent="0.25">
      <c r="B19" s="183"/>
      <c r="C19" s="1" t="s">
        <v>19</v>
      </c>
      <c r="D19" s="14">
        <v>9766.7099999999991</v>
      </c>
      <c r="E19" s="14">
        <v>4971.0600000000004</v>
      </c>
      <c r="F19" s="14">
        <v>3165.78</v>
      </c>
      <c r="G19" s="3">
        <v>11231.72</v>
      </c>
      <c r="H19" s="3">
        <v>5716.73</v>
      </c>
      <c r="I19" s="3">
        <v>12916.47</v>
      </c>
    </row>
    <row r="20" spans="2:9" x14ac:dyDescent="0.25">
      <c r="B20" s="183"/>
      <c r="C20" s="1" t="s">
        <v>20</v>
      </c>
      <c r="D20" s="14">
        <v>10059.709999999999</v>
      </c>
      <c r="E20" s="14">
        <v>5120.1899999999996</v>
      </c>
      <c r="F20" s="14">
        <v>3260.75</v>
      </c>
      <c r="G20" s="3">
        <v>11568.67</v>
      </c>
      <c r="H20" s="3">
        <v>5888.23</v>
      </c>
      <c r="I20" s="3">
        <v>13303.97</v>
      </c>
    </row>
    <row r="21" spans="2:9" x14ac:dyDescent="0.25">
      <c r="B21" s="183" t="s">
        <v>22</v>
      </c>
      <c r="C21" s="1" t="s">
        <v>15</v>
      </c>
      <c r="D21" s="14">
        <v>10562.7</v>
      </c>
      <c r="E21" s="14">
        <v>5376.2</v>
      </c>
      <c r="F21" s="14">
        <v>3423.79</v>
      </c>
      <c r="G21" s="3">
        <v>12147.11</v>
      </c>
      <c r="H21" s="3">
        <v>6182.64</v>
      </c>
      <c r="I21" s="3">
        <v>13969.17</v>
      </c>
    </row>
    <row r="22" spans="2:9" x14ac:dyDescent="0.25">
      <c r="B22" s="183"/>
      <c r="C22" s="1" t="s">
        <v>16</v>
      </c>
      <c r="D22" s="14">
        <v>10879.58</v>
      </c>
      <c r="E22" s="14">
        <v>5537.49</v>
      </c>
      <c r="F22" s="14">
        <v>3526.5</v>
      </c>
      <c r="G22" s="3">
        <v>12511.52</v>
      </c>
      <c r="H22" s="3">
        <v>6368.13</v>
      </c>
      <c r="I22" s="3">
        <v>14388.24</v>
      </c>
    </row>
    <row r="23" spans="2:9" x14ac:dyDescent="0.25">
      <c r="B23" s="183"/>
      <c r="C23" s="1" t="s">
        <v>17</v>
      </c>
      <c r="D23" s="14">
        <v>11205.97</v>
      </c>
      <c r="E23" s="14">
        <v>5703.61</v>
      </c>
      <c r="F23" s="14">
        <v>3632.3</v>
      </c>
      <c r="G23" s="3">
        <v>12886.87</v>
      </c>
      <c r="H23" s="3">
        <v>6559.17</v>
      </c>
      <c r="I23" s="3">
        <v>14819.9</v>
      </c>
    </row>
    <row r="24" spans="2:9" x14ac:dyDescent="0.25">
      <c r="B24" s="183"/>
      <c r="C24" s="1" t="s">
        <v>18</v>
      </c>
      <c r="D24" s="14">
        <v>11542.15</v>
      </c>
      <c r="E24" s="14">
        <v>5874.72</v>
      </c>
      <c r="F24" s="14">
        <v>3741.27</v>
      </c>
      <c r="G24" s="3">
        <v>13273.47</v>
      </c>
      <c r="H24" s="3">
        <v>6755.95</v>
      </c>
      <c r="I24" s="3">
        <v>15264.49</v>
      </c>
    </row>
    <row r="25" spans="2:9" x14ac:dyDescent="0.25">
      <c r="B25" s="183"/>
      <c r="C25" s="1" t="s">
        <v>19</v>
      </c>
      <c r="D25" s="14">
        <v>11888.41</v>
      </c>
      <c r="E25" s="14">
        <v>6050.96</v>
      </c>
      <c r="F25" s="14">
        <v>3853.51</v>
      </c>
      <c r="G25" s="3">
        <v>13671.67</v>
      </c>
      <c r="H25" s="3">
        <v>6958.63</v>
      </c>
      <c r="I25" s="3">
        <v>15722.42</v>
      </c>
    </row>
    <row r="26" spans="2:9" x14ac:dyDescent="0.25">
      <c r="B26" s="183"/>
      <c r="C26" s="1" t="s">
        <v>20</v>
      </c>
      <c r="D26" s="14">
        <v>12245.06</v>
      </c>
      <c r="E26" s="14">
        <v>6232.49</v>
      </c>
      <c r="F26" s="14">
        <v>3969.12</v>
      </c>
      <c r="G26" s="3">
        <v>14081.82</v>
      </c>
      <c r="H26" s="3">
        <v>7167.39</v>
      </c>
      <c r="I26" s="3">
        <v>16194.09</v>
      </c>
    </row>
    <row r="28" spans="2:9" ht="180" x14ac:dyDescent="0.25">
      <c r="B28" s="13" t="s">
        <v>23</v>
      </c>
    </row>
    <row r="30" spans="2:9" x14ac:dyDescent="0.25">
      <c r="B30" s="204" t="s">
        <v>3</v>
      </c>
      <c r="C30" s="204"/>
      <c r="D30" s="204"/>
      <c r="E30" s="204"/>
      <c r="F30" s="204"/>
      <c r="G30" s="204"/>
      <c r="H30" s="204"/>
      <c r="I30" s="204"/>
    </row>
    <row r="31" spans="2:9" ht="45" x14ac:dyDescent="0.25">
      <c r="B31" s="183" t="s">
        <v>4</v>
      </c>
      <c r="C31" s="183"/>
      <c r="D31" s="6" t="s">
        <v>5</v>
      </c>
      <c r="E31" s="6"/>
      <c r="F31" s="183" t="s">
        <v>6</v>
      </c>
      <c r="G31" s="183"/>
      <c r="H31" s="204" t="s">
        <v>7</v>
      </c>
      <c r="I31" s="204"/>
    </row>
    <row r="32" spans="2:9" ht="60" x14ac:dyDescent="0.25">
      <c r="B32" s="183"/>
      <c r="C32" s="183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24" x14ac:dyDescent="0.25">
      <c r="B33" s="4" t="s">
        <v>11</v>
      </c>
      <c r="C33" s="4" t="s">
        <v>12</v>
      </c>
      <c r="D33" s="4" t="s">
        <v>13</v>
      </c>
      <c r="E33" s="4" t="s">
        <v>13</v>
      </c>
      <c r="F33" s="4" t="s">
        <v>13</v>
      </c>
      <c r="G33" s="4" t="s">
        <v>13</v>
      </c>
      <c r="H33" s="4" t="s">
        <v>13</v>
      </c>
      <c r="I33" s="4" t="s">
        <v>13</v>
      </c>
    </row>
    <row r="34" spans="2:9" x14ac:dyDescent="0.25">
      <c r="B34" s="223" t="s">
        <v>14</v>
      </c>
      <c r="C34" s="1" t="s">
        <v>15</v>
      </c>
      <c r="D34" s="14">
        <v>7128.92</v>
      </c>
      <c r="E34" s="14">
        <v>7128.92</v>
      </c>
      <c r="F34" s="14"/>
      <c r="G34" s="3"/>
      <c r="H34" s="3"/>
      <c r="I34" s="2"/>
    </row>
    <row r="35" spans="2:9" x14ac:dyDescent="0.25">
      <c r="B35" s="223"/>
      <c r="C35" s="1" t="s">
        <v>16</v>
      </c>
      <c r="D35" s="14">
        <v>7342.79</v>
      </c>
      <c r="E35" s="14">
        <v>7342.79</v>
      </c>
      <c r="F35" s="14"/>
      <c r="G35" s="3"/>
      <c r="H35" s="3"/>
      <c r="I35" s="2"/>
    </row>
    <row r="36" spans="2:9" x14ac:dyDescent="0.25">
      <c r="B36" s="223"/>
      <c r="C36" s="1" t="s">
        <v>17</v>
      </c>
      <c r="D36" s="14">
        <v>7563.07</v>
      </c>
      <c r="E36" s="14">
        <v>7563.07</v>
      </c>
      <c r="F36" s="14"/>
      <c r="G36" s="3"/>
      <c r="H36" s="3"/>
      <c r="I36" s="2"/>
    </row>
    <row r="37" spans="2:9" x14ac:dyDescent="0.25">
      <c r="B37" s="223"/>
      <c r="C37" s="1" t="s">
        <v>18</v>
      </c>
      <c r="D37" s="14">
        <v>7789.96</v>
      </c>
      <c r="E37" s="14">
        <v>7789.96</v>
      </c>
      <c r="F37" s="14">
        <v>8958.4500000000007</v>
      </c>
      <c r="G37" s="3">
        <v>8958.4500000000007</v>
      </c>
      <c r="H37" s="3"/>
      <c r="I37" s="2"/>
    </row>
    <row r="38" spans="2:9" x14ac:dyDescent="0.25">
      <c r="B38" s="223"/>
      <c r="C38" s="1" t="s">
        <v>19</v>
      </c>
      <c r="D38" s="14">
        <v>8023.66</v>
      </c>
      <c r="E38" s="14">
        <v>8023.66</v>
      </c>
      <c r="F38" s="14">
        <v>9227.2099999999991</v>
      </c>
      <c r="G38" s="3">
        <v>9227.2099999999991</v>
      </c>
      <c r="H38" s="3"/>
      <c r="I38" s="2"/>
    </row>
    <row r="39" spans="2:9" x14ac:dyDescent="0.25">
      <c r="B39" s="223"/>
      <c r="C39" s="1" t="s">
        <v>20</v>
      </c>
      <c r="D39" s="14">
        <v>8264.3700000000008</v>
      </c>
      <c r="E39" s="14">
        <v>8264.3700000000008</v>
      </c>
      <c r="F39" s="14">
        <v>9504.0300000000007</v>
      </c>
      <c r="G39" s="3">
        <v>9504.0300000000007</v>
      </c>
      <c r="H39" s="2"/>
      <c r="I39" s="2"/>
    </row>
    <row r="40" spans="2:9" x14ac:dyDescent="0.25">
      <c r="B40" s="183" t="s">
        <v>21</v>
      </c>
      <c r="C40" s="1" t="s">
        <v>15</v>
      </c>
      <c r="D40" s="14">
        <v>8677.59</v>
      </c>
      <c r="E40" s="14">
        <v>8677.59</v>
      </c>
      <c r="F40" s="14">
        <v>9979.23</v>
      </c>
      <c r="G40" s="3">
        <v>9979.23</v>
      </c>
      <c r="H40" s="2"/>
      <c r="I40" s="2"/>
    </row>
    <row r="41" spans="2:9" x14ac:dyDescent="0.25">
      <c r="B41" s="183"/>
      <c r="C41" s="1" t="s">
        <v>16</v>
      </c>
      <c r="D41" s="14">
        <v>8937.92</v>
      </c>
      <c r="E41" s="14">
        <v>8937.92</v>
      </c>
      <c r="F41" s="14">
        <v>10278.61</v>
      </c>
      <c r="G41" s="3">
        <v>10278.61</v>
      </c>
      <c r="H41" s="2"/>
      <c r="I41" s="2"/>
    </row>
    <row r="42" spans="2:9" x14ac:dyDescent="0.25">
      <c r="B42" s="183"/>
      <c r="C42" s="1" t="s">
        <v>17</v>
      </c>
      <c r="D42" s="14">
        <v>9206.06</v>
      </c>
      <c r="E42" s="14">
        <v>9206.06</v>
      </c>
      <c r="F42" s="14">
        <v>10586.97</v>
      </c>
      <c r="G42" s="3">
        <v>10586.97</v>
      </c>
      <c r="H42" s="2"/>
      <c r="I42" s="2"/>
    </row>
    <row r="43" spans="2:9" x14ac:dyDescent="0.25">
      <c r="B43" s="183"/>
      <c r="C43" s="1" t="s">
        <v>18</v>
      </c>
      <c r="D43" s="14">
        <v>9482.24</v>
      </c>
      <c r="E43" s="14">
        <v>9482.24</v>
      </c>
      <c r="F43" s="14">
        <v>10904.58</v>
      </c>
      <c r="G43" s="3">
        <v>10904.58</v>
      </c>
      <c r="H43" s="3">
        <v>12540.26</v>
      </c>
      <c r="I43" s="3">
        <v>12540.26</v>
      </c>
    </row>
    <row r="44" spans="2:9" x14ac:dyDescent="0.25">
      <c r="B44" s="183"/>
      <c r="C44" s="1" t="s">
        <v>19</v>
      </c>
      <c r="D44" s="14">
        <v>9766.7099999999991</v>
      </c>
      <c r="E44" s="14">
        <v>9766.7099999999991</v>
      </c>
      <c r="F44" s="14">
        <v>11231.72</v>
      </c>
      <c r="G44" s="3">
        <v>11231.72</v>
      </c>
      <c r="H44" s="3">
        <v>12916.47</v>
      </c>
      <c r="I44" s="3">
        <v>12916.47</v>
      </c>
    </row>
    <row r="45" spans="2:9" x14ac:dyDescent="0.25">
      <c r="B45" s="183"/>
      <c r="C45" s="1" t="s">
        <v>20</v>
      </c>
      <c r="D45" s="14">
        <v>10059.709999999999</v>
      </c>
      <c r="E45" s="14">
        <v>10059.709999999999</v>
      </c>
      <c r="F45" s="14">
        <v>11568.67</v>
      </c>
      <c r="G45" s="3">
        <v>11568.67</v>
      </c>
      <c r="H45" s="3">
        <v>13303.97</v>
      </c>
      <c r="I45" s="3">
        <v>13303.97</v>
      </c>
    </row>
    <row r="46" spans="2:9" x14ac:dyDescent="0.25">
      <c r="B46" s="183" t="s">
        <v>22</v>
      </c>
      <c r="C46" s="1" t="s">
        <v>15</v>
      </c>
      <c r="D46" s="14">
        <v>10562.7</v>
      </c>
      <c r="E46" s="14">
        <v>10562.7</v>
      </c>
      <c r="F46" s="14">
        <v>12147.11</v>
      </c>
      <c r="G46" s="3">
        <v>12147.11</v>
      </c>
      <c r="H46" s="3">
        <v>13969.17</v>
      </c>
      <c r="I46" s="3">
        <v>13969.17</v>
      </c>
    </row>
    <row r="47" spans="2:9" x14ac:dyDescent="0.25">
      <c r="B47" s="183"/>
      <c r="C47" s="1" t="s">
        <v>16</v>
      </c>
      <c r="D47" s="14">
        <v>10879.58</v>
      </c>
      <c r="E47" s="14">
        <v>10879.58</v>
      </c>
      <c r="F47" s="14">
        <v>12511.52</v>
      </c>
      <c r="G47" s="3">
        <v>12511.52</v>
      </c>
      <c r="H47" s="3">
        <v>14388.24</v>
      </c>
      <c r="I47" s="3">
        <v>14388.24</v>
      </c>
    </row>
    <row r="48" spans="2:9" x14ac:dyDescent="0.25">
      <c r="B48" s="183"/>
      <c r="C48" s="1" t="s">
        <v>17</v>
      </c>
      <c r="D48" s="14">
        <v>11205.97</v>
      </c>
      <c r="E48" s="14">
        <v>11205.97</v>
      </c>
      <c r="F48" s="14">
        <v>12886.87</v>
      </c>
      <c r="G48" s="3">
        <v>12886.87</v>
      </c>
      <c r="H48" s="3">
        <v>14819.9</v>
      </c>
      <c r="I48" s="3">
        <v>14819.9</v>
      </c>
    </row>
    <row r="49" spans="2:9" x14ac:dyDescent="0.25">
      <c r="B49" s="183"/>
      <c r="C49" s="1" t="s">
        <v>18</v>
      </c>
      <c r="D49" s="14">
        <v>11542.15</v>
      </c>
      <c r="E49" s="14">
        <v>11542.15</v>
      </c>
      <c r="F49" s="14">
        <v>13273.47</v>
      </c>
      <c r="G49" s="3">
        <v>13273.47</v>
      </c>
      <c r="H49" s="3">
        <v>15264.49</v>
      </c>
      <c r="I49" s="3">
        <v>15264.49</v>
      </c>
    </row>
    <row r="50" spans="2:9" x14ac:dyDescent="0.25">
      <c r="B50" s="183"/>
      <c r="C50" s="1" t="s">
        <v>19</v>
      </c>
      <c r="D50" s="14">
        <v>11888.41</v>
      </c>
      <c r="E50" s="14">
        <v>11888.41</v>
      </c>
      <c r="F50" s="14">
        <v>13671.67</v>
      </c>
      <c r="G50" s="3">
        <v>13671.67</v>
      </c>
      <c r="H50" s="3">
        <v>15722.42</v>
      </c>
      <c r="I50" s="3">
        <v>15722.42</v>
      </c>
    </row>
    <row r="51" spans="2:9" x14ac:dyDescent="0.25">
      <c r="B51" s="183"/>
      <c r="C51" s="1" t="s">
        <v>20</v>
      </c>
      <c r="D51" s="14">
        <v>12245.06</v>
      </c>
      <c r="E51" s="14">
        <v>12245.06</v>
      </c>
      <c r="F51" s="14">
        <v>14081.82</v>
      </c>
      <c r="G51" s="3">
        <v>14081.82</v>
      </c>
      <c r="H51" s="3">
        <v>16194.09</v>
      </c>
      <c r="I51" s="3">
        <v>16194.09</v>
      </c>
    </row>
    <row r="53" spans="2:9" ht="330" x14ac:dyDescent="0.25">
      <c r="B53" s="13" t="s">
        <v>26</v>
      </c>
    </row>
    <row r="55" spans="2:9" x14ac:dyDescent="0.25">
      <c r="B55" s="204" t="s">
        <v>3</v>
      </c>
      <c r="C55" s="204"/>
      <c r="D55" s="204"/>
      <c r="E55" s="204"/>
      <c r="F55" s="204"/>
      <c r="G55" s="204"/>
    </row>
    <row r="56" spans="2:9" ht="45" customHeight="1" x14ac:dyDescent="0.25">
      <c r="B56" s="206" t="s">
        <v>4</v>
      </c>
      <c r="C56" s="207"/>
      <c r="D56" s="6" t="s">
        <v>5</v>
      </c>
      <c r="E56" s="6"/>
      <c r="F56" s="183" t="s">
        <v>6</v>
      </c>
      <c r="G56" s="183"/>
    </row>
    <row r="57" spans="2:9" ht="45" x14ac:dyDescent="0.25">
      <c r="B57" s="208"/>
      <c r="C57" s="209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24" x14ac:dyDescent="0.25">
      <c r="B58" s="4" t="s">
        <v>11</v>
      </c>
      <c r="C58" s="4" t="s">
        <v>12</v>
      </c>
      <c r="D58" s="4" t="s">
        <v>13</v>
      </c>
      <c r="E58" s="4" t="s">
        <v>13</v>
      </c>
      <c r="F58" s="4" t="s">
        <v>13</v>
      </c>
      <c r="G58" s="4" t="s">
        <v>13</v>
      </c>
    </row>
    <row r="59" spans="2:9" x14ac:dyDescent="0.25">
      <c r="B59" s="223" t="s">
        <v>14</v>
      </c>
      <c r="C59" s="9" t="s">
        <v>15</v>
      </c>
      <c r="D59" s="12">
        <v>4003.37</v>
      </c>
      <c r="E59" s="12">
        <v>3628.49</v>
      </c>
      <c r="F59" s="10"/>
      <c r="G59" s="2"/>
    </row>
    <row r="60" spans="2:9" x14ac:dyDescent="0.25">
      <c r="B60" s="223"/>
      <c r="C60" s="9" t="s">
        <v>16</v>
      </c>
      <c r="D60" s="11">
        <v>4123.47</v>
      </c>
      <c r="E60" s="11">
        <v>3737.34</v>
      </c>
      <c r="F60" s="10"/>
      <c r="G60" s="2"/>
    </row>
    <row r="61" spans="2:9" x14ac:dyDescent="0.25">
      <c r="B61" s="223"/>
      <c r="C61" s="9" t="s">
        <v>17</v>
      </c>
      <c r="D61" s="11">
        <v>4247.18</v>
      </c>
      <c r="E61" s="11">
        <v>3849.46</v>
      </c>
      <c r="F61" s="10"/>
      <c r="G61" s="2"/>
    </row>
    <row r="62" spans="2:9" x14ac:dyDescent="0.25">
      <c r="B62" s="223"/>
      <c r="C62" s="9" t="s">
        <v>18</v>
      </c>
      <c r="D62" s="11">
        <v>4374.59</v>
      </c>
      <c r="E62" s="11">
        <v>3964.94</v>
      </c>
      <c r="F62" s="11">
        <v>5030.78</v>
      </c>
      <c r="G62" s="3">
        <v>4559.68</v>
      </c>
    </row>
    <row r="63" spans="2:9" x14ac:dyDescent="0.25">
      <c r="B63" s="223"/>
      <c r="C63" s="9" t="s">
        <v>19</v>
      </c>
      <c r="D63" s="11">
        <v>4505.83</v>
      </c>
      <c r="E63" s="11">
        <v>4083.89</v>
      </c>
      <c r="F63" s="11">
        <v>5181.7</v>
      </c>
      <c r="G63" s="3">
        <v>4696.47</v>
      </c>
    </row>
    <row r="64" spans="2:9" x14ac:dyDescent="0.25">
      <c r="B64" s="223"/>
      <c r="C64" s="9" t="s">
        <v>20</v>
      </c>
      <c r="D64" s="11">
        <v>4641</v>
      </c>
      <c r="E64" s="11">
        <v>4206.41</v>
      </c>
      <c r="F64" s="11">
        <v>5337.15</v>
      </c>
      <c r="G64" s="3">
        <v>4837.37</v>
      </c>
    </row>
    <row r="65" spans="2:7" x14ac:dyDescent="0.25">
      <c r="B65" s="183" t="s">
        <v>21</v>
      </c>
      <c r="C65" s="9" t="s">
        <v>15</v>
      </c>
      <c r="D65" s="11">
        <v>4873.05</v>
      </c>
      <c r="E65" s="11">
        <v>4416.7299999999996</v>
      </c>
      <c r="F65" s="11">
        <v>5604.01</v>
      </c>
      <c r="G65" s="3">
        <v>5079.24</v>
      </c>
    </row>
    <row r="66" spans="2:7" x14ac:dyDescent="0.25">
      <c r="B66" s="183"/>
      <c r="C66" s="9" t="s">
        <v>16</v>
      </c>
      <c r="D66" s="11">
        <v>5019.24</v>
      </c>
      <c r="E66" s="11">
        <v>4549.2299999999996</v>
      </c>
      <c r="F66" s="11">
        <v>5772.13</v>
      </c>
      <c r="G66" s="3">
        <v>5231.6099999999997</v>
      </c>
    </row>
    <row r="67" spans="2:7" x14ac:dyDescent="0.25">
      <c r="B67" s="183"/>
      <c r="C67" s="9" t="s">
        <v>17</v>
      </c>
      <c r="D67" s="11">
        <v>5169.82</v>
      </c>
      <c r="E67" s="11">
        <v>4685.71</v>
      </c>
      <c r="F67" s="11">
        <v>5945.3</v>
      </c>
      <c r="G67" s="3">
        <v>5388.57</v>
      </c>
    </row>
    <row r="68" spans="2:7" x14ac:dyDescent="0.25">
      <c r="B68" s="183"/>
      <c r="C68" s="6" t="s">
        <v>18</v>
      </c>
      <c r="D68" s="14">
        <v>5324.92</v>
      </c>
      <c r="E68" s="14">
        <v>4826.28</v>
      </c>
      <c r="F68" s="14">
        <v>6123.65</v>
      </c>
      <c r="G68" s="3">
        <v>5550.22</v>
      </c>
    </row>
    <row r="69" spans="2:7" x14ac:dyDescent="0.25">
      <c r="B69" s="183"/>
      <c r="C69" s="6" t="s">
        <v>19</v>
      </c>
      <c r="D69" s="14">
        <v>5484.66</v>
      </c>
      <c r="E69" s="14">
        <v>4971.07</v>
      </c>
      <c r="F69" s="14">
        <v>6307.36</v>
      </c>
      <c r="G69" s="3">
        <v>5716.73</v>
      </c>
    </row>
    <row r="70" spans="2:7" x14ac:dyDescent="0.25">
      <c r="B70" s="183"/>
      <c r="C70" s="6" t="s">
        <v>20</v>
      </c>
      <c r="D70" s="14">
        <v>5649.2</v>
      </c>
      <c r="E70" s="14">
        <v>5120.2</v>
      </c>
      <c r="F70" s="14">
        <v>6496.58</v>
      </c>
      <c r="G70" s="3">
        <v>5888.23</v>
      </c>
    </row>
    <row r="71" spans="2:7" x14ac:dyDescent="0.25">
      <c r="B71" s="183" t="s">
        <v>22</v>
      </c>
      <c r="C71" s="6" t="s">
        <v>15</v>
      </c>
      <c r="D71" s="14">
        <v>5931.66</v>
      </c>
      <c r="E71" s="14">
        <v>5376.21</v>
      </c>
      <c r="F71" s="14">
        <v>6821.41</v>
      </c>
      <c r="G71" s="3">
        <v>6182.64</v>
      </c>
    </row>
    <row r="72" spans="2:7" x14ac:dyDescent="0.25">
      <c r="B72" s="183"/>
      <c r="C72" s="6" t="s">
        <v>16</v>
      </c>
      <c r="D72" s="14">
        <v>6109.61</v>
      </c>
      <c r="E72" s="14">
        <v>5537.5</v>
      </c>
      <c r="F72" s="14">
        <v>7026.06</v>
      </c>
      <c r="G72" s="3">
        <v>6368.13</v>
      </c>
    </row>
    <row r="73" spans="2:7" x14ac:dyDescent="0.25">
      <c r="B73" s="183"/>
      <c r="C73" s="6" t="s">
        <v>17</v>
      </c>
      <c r="D73" s="14">
        <v>6292.9</v>
      </c>
      <c r="E73" s="14">
        <v>5703.63</v>
      </c>
      <c r="F73" s="14">
        <v>7236.84</v>
      </c>
      <c r="G73" s="3">
        <v>6559.17</v>
      </c>
    </row>
    <row r="74" spans="2:7" x14ac:dyDescent="0.25">
      <c r="B74" s="183"/>
      <c r="C74" s="6" t="s">
        <v>18</v>
      </c>
      <c r="D74" s="14">
        <v>6481.69</v>
      </c>
      <c r="E74" s="14">
        <v>5874.74</v>
      </c>
      <c r="F74" s="14">
        <v>7453.94</v>
      </c>
      <c r="G74" s="3">
        <v>6755.95</v>
      </c>
    </row>
    <row r="75" spans="2:7" x14ac:dyDescent="0.25">
      <c r="B75" s="183"/>
      <c r="C75" s="6" t="s">
        <v>19</v>
      </c>
      <c r="D75" s="14">
        <v>6676.14</v>
      </c>
      <c r="E75" s="14">
        <v>6050.98</v>
      </c>
      <c r="F75" s="14">
        <v>7677.56</v>
      </c>
      <c r="G75" s="3">
        <v>6958.63</v>
      </c>
    </row>
    <row r="76" spans="2:7" x14ac:dyDescent="0.25">
      <c r="B76" s="183"/>
      <c r="C76" s="6" t="s">
        <v>20</v>
      </c>
      <c r="D76" s="14">
        <v>6876.42</v>
      </c>
      <c r="E76" s="14">
        <v>6232.51</v>
      </c>
      <c r="F76" s="14">
        <v>7907.89</v>
      </c>
      <c r="G76" s="3">
        <v>7167.39</v>
      </c>
    </row>
    <row r="79" spans="2:7" ht="225" x14ac:dyDescent="0.25">
      <c r="B79" s="13" t="s">
        <v>29</v>
      </c>
    </row>
    <row r="80" spans="2:7" ht="150" x14ac:dyDescent="0.25">
      <c r="B80" s="13" t="s">
        <v>30</v>
      </c>
    </row>
    <row r="82" spans="2:6" x14ac:dyDescent="0.25">
      <c r="B82" s="224" t="s">
        <v>3</v>
      </c>
      <c r="C82" s="224"/>
      <c r="D82" s="224"/>
      <c r="E82" s="224"/>
      <c r="F82" s="224"/>
    </row>
    <row r="83" spans="2:6" x14ac:dyDescent="0.25">
      <c r="B83" s="183" t="s">
        <v>4</v>
      </c>
      <c r="C83" s="183"/>
      <c r="D83" s="224" t="s">
        <v>5</v>
      </c>
      <c r="E83" s="224"/>
      <c r="F83" s="224"/>
    </row>
    <row r="84" spans="2:6" ht="45" x14ac:dyDescent="0.25">
      <c r="B84" s="183"/>
      <c r="C84" s="183"/>
      <c r="D84" s="6" t="s">
        <v>31</v>
      </c>
      <c r="E84" s="6" t="s">
        <v>32</v>
      </c>
      <c r="F84" s="6" t="s">
        <v>33</v>
      </c>
    </row>
    <row r="85" spans="2:6" ht="24" x14ac:dyDescent="0.25">
      <c r="B85" s="4" t="s">
        <v>11</v>
      </c>
      <c r="C85" s="4" t="s">
        <v>12</v>
      </c>
      <c r="D85" s="4" t="s">
        <v>13</v>
      </c>
      <c r="E85" s="4" t="s">
        <v>13</v>
      </c>
      <c r="F85" s="4" t="s">
        <v>13</v>
      </c>
    </row>
    <row r="86" spans="2:6" x14ac:dyDescent="0.25">
      <c r="B86" s="223" t="s">
        <v>14</v>
      </c>
      <c r="C86" s="6" t="s">
        <v>15</v>
      </c>
      <c r="D86" s="14">
        <v>2728.25</v>
      </c>
      <c r="E86" s="14">
        <v>2310.7800000000002</v>
      </c>
      <c r="F86" s="14">
        <v>2310.7800000000002</v>
      </c>
    </row>
    <row r="87" spans="2:6" x14ac:dyDescent="0.25">
      <c r="B87" s="223"/>
      <c r="C87" s="6" t="s">
        <v>16</v>
      </c>
      <c r="D87" s="14">
        <v>2810.1</v>
      </c>
      <c r="E87" s="14">
        <v>2380.1</v>
      </c>
      <c r="F87" s="14">
        <v>2380.1</v>
      </c>
    </row>
    <row r="88" spans="2:6" x14ac:dyDescent="0.25">
      <c r="B88" s="223"/>
      <c r="C88" s="6" t="s">
        <v>17</v>
      </c>
      <c r="D88" s="14">
        <v>2894.4</v>
      </c>
      <c r="E88" s="14">
        <v>2451.5</v>
      </c>
      <c r="F88" s="14">
        <v>2451.5</v>
      </c>
    </row>
    <row r="89" spans="2:6" x14ac:dyDescent="0.25">
      <c r="B89" s="223"/>
      <c r="C89" s="6" t="s">
        <v>18</v>
      </c>
      <c r="D89" s="14">
        <v>2981.23</v>
      </c>
      <c r="E89" s="14">
        <v>2525.0500000000002</v>
      </c>
      <c r="F89" s="14">
        <v>2525.0500000000002</v>
      </c>
    </row>
    <row r="90" spans="2:6" x14ac:dyDescent="0.25">
      <c r="B90" s="223"/>
      <c r="C90" s="6" t="s">
        <v>19</v>
      </c>
      <c r="D90" s="14">
        <v>3070.67</v>
      </c>
      <c r="E90" s="14">
        <v>2600.8000000000002</v>
      </c>
      <c r="F90" s="14">
        <v>2600.8000000000002</v>
      </c>
    </row>
    <row r="91" spans="2:6" x14ac:dyDescent="0.25">
      <c r="B91" s="223"/>
      <c r="C91" s="6" t="s">
        <v>20</v>
      </c>
      <c r="D91" s="14">
        <v>3162.79</v>
      </c>
      <c r="E91" s="14">
        <v>2678.82</v>
      </c>
      <c r="F91" s="14">
        <v>2678.82</v>
      </c>
    </row>
    <row r="92" spans="2:6" x14ac:dyDescent="0.25">
      <c r="B92" s="183" t="s">
        <v>21</v>
      </c>
      <c r="C92" s="6" t="s">
        <v>15</v>
      </c>
      <c r="D92" s="14">
        <v>3320.93</v>
      </c>
      <c r="E92" s="14">
        <v>2812.76</v>
      </c>
      <c r="F92" s="14">
        <v>2812.76</v>
      </c>
    </row>
    <row r="93" spans="2:6" x14ac:dyDescent="0.25">
      <c r="B93" s="183"/>
      <c r="C93" s="6" t="s">
        <v>16</v>
      </c>
      <c r="D93" s="14">
        <v>3420.56</v>
      </c>
      <c r="E93" s="14">
        <v>2897.14</v>
      </c>
      <c r="F93" s="14">
        <v>2897.14</v>
      </c>
    </row>
    <row r="94" spans="2:6" x14ac:dyDescent="0.25">
      <c r="B94" s="183"/>
      <c r="C94" s="6" t="s">
        <v>17</v>
      </c>
      <c r="D94" s="14">
        <v>3523.18</v>
      </c>
      <c r="E94" s="14">
        <v>2984.05</v>
      </c>
      <c r="F94" s="14">
        <v>2984.05</v>
      </c>
    </row>
    <row r="95" spans="2:6" x14ac:dyDescent="0.25">
      <c r="B95" s="183"/>
      <c r="C95" s="6" t="s">
        <v>18</v>
      </c>
      <c r="D95" s="14">
        <v>3628.88</v>
      </c>
      <c r="E95" s="14">
        <v>3073.57</v>
      </c>
      <c r="F95" s="14">
        <v>3073.57</v>
      </c>
    </row>
    <row r="96" spans="2:6" x14ac:dyDescent="0.25">
      <c r="B96" s="183"/>
      <c r="C96" s="6" t="s">
        <v>19</v>
      </c>
      <c r="D96" s="14">
        <v>3737.75</v>
      </c>
      <c r="E96" s="14">
        <v>3165.78</v>
      </c>
      <c r="F96" s="14">
        <v>3165.78</v>
      </c>
    </row>
    <row r="97" spans="2:6" x14ac:dyDescent="0.25">
      <c r="B97" s="183"/>
      <c r="C97" s="6" t="s">
        <v>20</v>
      </c>
      <c r="D97" s="14">
        <v>3849.88</v>
      </c>
      <c r="E97" s="14">
        <v>3260.75</v>
      </c>
      <c r="F97" s="14">
        <v>3260.75</v>
      </c>
    </row>
    <row r="98" spans="2:6" x14ac:dyDescent="0.25">
      <c r="B98" s="183" t="s">
        <v>22</v>
      </c>
      <c r="C98" s="6" t="s">
        <v>15</v>
      </c>
      <c r="D98" s="14">
        <v>4042.37</v>
      </c>
      <c r="E98" s="14">
        <v>3423.79</v>
      </c>
      <c r="F98" s="14">
        <v>3423.79</v>
      </c>
    </row>
    <row r="99" spans="2:6" x14ac:dyDescent="0.25">
      <c r="B99" s="183"/>
      <c r="C99" s="6" t="s">
        <v>16</v>
      </c>
      <c r="D99" s="14">
        <v>4163.6400000000003</v>
      </c>
      <c r="E99" s="14">
        <v>3526.5</v>
      </c>
      <c r="F99" s="14">
        <v>3526.5</v>
      </c>
    </row>
    <row r="100" spans="2:6" x14ac:dyDescent="0.25">
      <c r="B100" s="183"/>
      <c r="C100" s="6" t="s">
        <v>17</v>
      </c>
      <c r="D100" s="14">
        <v>4288.55</v>
      </c>
      <c r="E100" s="14">
        <v>3632.3</v>
      </c>
      <c r="F100" s="14">
        <v>3632.3</v>
      </c>
    </row>
    <row r="101" spans="2:6" x14ac:dyDescent="0.25">
      <c r="B101" s="183"/>
      <c r="C101" s="6" t="s">
        <v>18</v>
      </c>
      <c r="D101" s="14">
        <v>4417.21</v>
      </c>
      <c r="E101" s="14">
        <v>3741.27</v>
      </c>
      <c r="F101" s="14">
        <v>3741.27</v>
      </c>
    </row>
    <row r="102" spans="2:6" x14ac:dyDescent="0.25">
      <c r="B102" s="183"/>
      <c r="C102" s="6" t="s">
        <v>19</v>
      </c>
      <c r="D102" s="14">
        <v>4549.7299999999996</v>
      </c>
      <c r="E102" s="14">
        <v>3853.51</v>
      </c>
      <c r="F102" s="14">
        <v>3853.51</v>
      </c>
    </row>
    <row r="103" spans="2:6" x14ac:dyDescent="0.25">
      <c r="B103" s="183"/>
      <c r="C103" s="6" t="s">
        <v>20</v>
      </c>
      <c r="D103" s="14">
        <v>4686.22</v>
      </c>
      <c r="E103" s="14">
        <v>3969.12</v>
      </c>
      <c r="F103" s="14">
        <v>3969.12</v>
      </c>
    </row>
    <row r="106" spans="2:6" ht="30" x14ac:dyDescent="0.25">
      <c r="B106" s="13" t="s">
        <v>34</v>
      </c>
    </row>
    <row r="107" spans="2:6" ht="225" x14ac:dyDescent="0.25">
      <c r="B107" s="13" t="s">
        <v>35</v>
      </c>
    </row>
    <row r="109" spans="2:6" ht="30" x14ac:dyDescent="0.25">
      <c r="B109" s="6" t="s">
        <v>36</v>
      </c>
      <c r="C109" s="6" t="s">
        <v>37</v>
      </c>
    </row>
    <row r="110" spans="2:6" x14ac:dyDescent="0.25">
      <c r="B110" s="6" t="s">
        <v>38</v>
      </c>
      <c r="C110" s="14">
        <v>2897.16</v>
      </c>
    </row>
    <row r="111" spans="2:6" x14ac:dyDescent="0.25">
      <c r="B111" s="6" t="s">
        <v>39</v>
      </c>
      <c r="C111" s="14">
        <v>4683.5200000000004</v>
      </c>
    </row>
    <row r="112" spans="2:6" x14ac:dyDescent="0.25">
      <c r="B112" s="6" t="s">
        <v>40</v>
      </c>
      <c r="C112" s="14">
        <v>5820.3</v>
      </c>
    </row>
    <row r="113" spans="2:14" x14ac:dyDescent="0.25">
      <c r="B113" s="6" t="s">
        <v>41</v>
      </c>
      <c r="C113" s="14">
        <v>6632.28</v>
      </c>
    </row>
    <row r="114" spans="2:14" x14ac:dyDescent="0.25">
      <c r="B114" s="6" t="s">
        <v>42</v>
      </c>
      <c r="C114" s="14">
        <v>9880.2000000000007</v>
      </c>
    </row>
    <row r="115" spans="2:14" x14ac:dyDescent="0.25">
      <c r="B115" s="6" t="s">
        <v>43</v>
      </c>
      <c r="C115" s="14">
        <v>11504.15</v>
      </c>
    </row>
    <row r="116" spans="2:14" x14ac:dyDescent="0.25">
      <c r="B116" s="6" t="s">
        <v>44</v>
      </c>
      <c r="C116" s="14">
        <v>14984.32</v>
      </c>
    </row>
    <row r="117" spans="2:14" x14ac:dyDescent="0.25">
      <c r="B117" s="6" t="s">
        <v>45</v>
      </c>
      <c r="C117" s="14">
        <v>21879.48</v>
      </c>
    </row>
    <row r="119" spans="2:14" x14ac:dyDescent="0.25">
      <c r="B119" s="13" t="s">
        <v>46</v>
      </c>
    </row>
    <row r="120" spans="2:14" ht="270" x14ac:dyDescent="0.25">
      <c r="B120" s="13" t="s">
        <v>47</v>
      </c>
    </row>
    <row r="122" spans="2:14" ht="30" x14ac:dyDescent="0.25">
      <c r="B122" s="6" t="s">
        <v>36</v>
      </c>
      <c r="C122" s="6" t="s">
        <v>37</v>
      </c>
    </row>
    <row r="123" spans="2:14" x14ac:dyDescent="0.25">
      <c r="B123" s="6" t="s">
        <v>48</v>
      </c>
      <c r="C123" s="14">
        <v>3316.14</v>
      </c>
    </row>
    <row r="127" spans="2:14" ht="30" x14ac:dyDescent="0.25">
      <c r="B127" s="13" t="s">
        <v>49</v>
      </c>
    </row>
    <row r="128" spans="2:14" ht="55.5" customHeight="1" x14ac:dyDescent="0.25">
      <c r="B128" s="225" t="s">
        <v>50</v>
      </c>
      <c r="C128" s="225"/>
      <c r="D128" s="225" t="s">
        <v>51</v>
      </c>
      <c r="E128" s="225"/>
      <c r="F128" s="225"/>
      <c r="G128" s="225"/>
      <c r="H128" s="225" t="s">
        <v>52</v>
      </c>
      <c r="I128" s="225"/>
      <c r="J128" s="225"/>
      <c r="K128" s="225" t="s">
        <v>53</v>
      </c>
      <c r="L128" s="225"/>
      <c r="M128" s="225"/>
      <c r="N128" s="225"/>
    </row>
    <row r="129" spans="2:14" ht="84" customHeight="1" x14ac:dyDescent="0.25">
      <c r="B129" s="225" t="s">
        <v>54</v>
      </c>
      <c r="C129" s="225"/>
      <c r="D129" s="225" t="s">
        <v>55</v>
      </c>
      <c r="E129" s="225"/>
      <c r="F129" s="225"/>
      <c r="G129" s="225"/>
      <c r="H129" s="225" t="s">
        <v>56</v>
      </c>
      <c r="I129" s="225"/>
      <c r="J129" s="225"/>
      <c r="K129" s="225" t="s">
        <v>57</v>
      </c>
      <c r="L129" s="225"/>
      <c r="M129" s="225"/>
      <c r="N129" s="225"/>
    </row>
    <row r="130" spans="2:14" ht="72.75" customHeight="1" x14ac:dyDescent="0.25">
      <c r="B130" s="225" t="s">
        <v>58</v>
      </c>
      <c r="C130" s="225"/>
      <c r="D130" s="225" t="s">
        <v>59</v>
      </c>
      <c r="E130" s="225"/>
      <c r="F130" s="225"/>
      <c r="G130" s="225"/>
      <c r="H130" s="225" t="s">
        <v>60</v>
      </c>
      <c r="I130" s="225"/>
      <c r="J130" s="225"/>
      <c r="K130" s="225" t="s">
        <v>61</v>
      </c>
      <c r="L130" s="225"/>
      <c r="M130" s="225"/>
      <c r="N130" s="225"/>
    </row>
    <row r="131" spans="2:14" ht="67.5" customHeight="1" x14ac:dyDescent="0.25">
      <c r="B131" s="225" t="s">
        <v>62</v>
      </c>
      <c r="C131" s="225"/>
      <c r="D131" s="225" t="s">
        <v>63</v>
      </c>
      <c r="E131" s="225"/>
      <c r="F131" s="225"/>
      <c r="G131" s="225"/>
      <c r="H131" s="226" t="s">
        <v>64</v>
      </c>
      <c r="I131" s="226"/>
      <c r="J131" s="226"/>
      <c r="K131" s="225" t="s">
        <v>61</v>
      </c>
      <c r="L131" s="225"/>
      <c r="M131" s="225"/>
      <c r="N131" s="225"/>
    </row>
    <row r="132" spans="2:14" ht="135" customHeight="1" x14ac:dyDescent="0.25">
      <c r="B132" s="225" t="s">
        <v>65</v>
      </c>
      <c r="C132" s="225"/>
      <c r="D132" s="225" t="s">
        <v>66</v>
      </c>
      <c r="E132" s="225"/>
      <c r="F132" s="225"/>
      <c r="G132" s="225"/>
      <c r="H132" s="225" t="s">
        <v>67</v>
      </c>
      <c r="I132" s="225"/>
      <c r="J132" s="225"/>
      <c r="K132" s="225" t="s">
        <v>68</v>
      </c>
      <c r="L132" s="225"/>
      <c r="M132" s="225"/>
      <c r="N132" s="225"/>
    </row>
    <row r="133" spans="2:14" ht="69.75" customHeight="1" x14ac:dyDescent="0.25">
      <c r="B133" s="225" t="s">
        <v>69</v>
      </c>
      <c r="C133" s="225"/>
      <c r="D133" s="225" t="s">
        <v>70</v>
      </c>
      <c r="E133" s="225"/>
      <c r="F133" s="225"/>
      <c r="G133" s="225"/>
      <c r="H133" s="225" t="s">
        <v>67</v>
      </c>
      <c r="I133" s="225"/>
      <c r="J133" s="225"/>
      <c r="K133" s="225" t="s">
        <v>68</v>
      </c>
      <c r="L133" s="225"/>
      <c r="M133" s="225"/>
      <c r="N133" s="225"/>
    </row>
    <row r="134" spans="2:14" ht="108.75" customHeight="1" x14ac:dyDescent="0.25">
      <c r="B134" s="225" t="s">
        <v>71</v>
      </c>
      <c r="C134" s="225"/>
      <c r="D134" s="225" t="s">
        <v>72</v>
      </c>
      <c r="E134" s="225"/>
      <c r="F134" s="225"/>
      <c r="G134" s="225"/>
      <c r="H134" s="225" t="s">
        <v>73</v>
      </c>
      <c r="I134" s="225"/>
      <c r="J134" s="225"/>
      <c r="K134" s="225" t="s">
        <v>74</v>
      </c>
      <c r="L134" s="225"/>
      <c r="M134" s="225"/>
      <c r="N134" s="225"/>
    </row>
    <row r="135" spans="2:14" ht="84" customHeight="1" x14ac:dyDescent="0.25">
      <c r="B135" s="225" t="s">
        <v>75</v>
      </c>
      <c r="C135" s="225"/>
      <c r="D135" s="225" t="s">
        <v>76</v>
      </c>
      <c r="E135" s="225"/>
      <c r="F135" s="225"/>
      <c r="G135" s="225"/>
      <c r="H135" s="225" t="s">
        <v>73</v>
      </c>
      <c r="I135" s="225"/>
      <c r="J135" s="225"/>
      <c r="K135" s="225" t="s">
        <v>77</v>
      </c>
      <c r="L135" s="225"/>
      <c r="M135" s="225"/>
      <c r="N135" s="225"/>
    </row>
    <row r="136" spans="2:14" ht="86.25" customHeight="1" x14ac:dyDescent="0.25">
      <c r="B136" s="225" t="s">
        <v>78</v>
      </c>
      <c r="C136" s="225"/>
      <c r="D136" s="225" t="s">
        <v>79</v>
      </c>
      <c r="E136" s="225"/>
      <c r="F136" s="225"/>
      <c r="G136" s="225"/>
      <c r="H136" s="226">
        <v>1300</v>
      </c>
      <c r="I136" s="226"/>
      <c r="J136" s="226"/>
      <c r="K136" s="225" t="s">
        <v>80</v>
      </c>
      <c r="L136" s="225"/>
      <c r="M136" s="225"/>
      <c r="N136" s="225"/>
    </row>
    <row r="137" spans="2:14" ht="79.5" customHeight="1" x14ac:dyDescent="0.25">
      <c r="B137" s="225" t="s">
        <v>81</v>
      </c>
      <c r="C137" s="225"/>
      <c r="D137" s="225" t="s">
        <v>82</v>
      </c>
      <c r="E137" s="225"/>
      <c r="F137" s="225"/>
      <c r="G137" s="225"/>
      <c r="H137" s="226">
        <v>1300</v>
      </c>
      <c r="I137" s="226"/>
      <c r="J137" s="226"/>
      <c r="K137" s="225" t="s">
        <v>83</v>
      </c>
      <c r="L137" s="225"/>
      <c r="M137" s="225"/>
      <c r="N137" s="225"/>
    </row>
    <row r="138" spans="2:14" ht="78.75" customHeight="1" x14ac:dyDescent="0.25">
      <c r="B138" s="225" t="s">
        <v>84</v>
      </c>
      <c r="C138" s="225"/>
      <c r="D138" s="225" t="s">
        <v>85</v>
      </c>
      <c r="E138" s="225"/>
      <c r="F138" s="225"/>
      <c r="G138" s="225"/>
      <c r="H138" s="225" t="s">
        <v>86</v>
      </c>
      <c r="I138" s="225"/>
      <c r="J138" s="225"/>
      <c r="K138" s="225" t="s">
        <v>87</v>
      </c>
      <c r="L138" s="225"/>
      <c r="M138" s="225"/>
      <c r="N138" s="225"/>
    </row>
    <row r="139" spans="2:14" ht="40.5" customHeight="1" x14ac:dyDescent="0.25"/>
  </sheetData>
  <mergeCells count="70">
    <mergeCell ref="B135:C135"/>
    <mergeCell ref="B136:C136"/>
    <mergeCell ref="B137:C137"/>
    <mergeCell ref="B138:C138"/>
    <mergeCell ref="B130:C130"/>
    <mergeCell ref="B131:C131"/>
    <mergeCell ref="B132:C132"/>
    <mergeCell ref="B133:C133"/>
    <mergeCell ref="B134:C134"/>
    <mergeCell ref="H130:J130"/>
    <mergeCell ref="H131:J131"/>
    <mergeCell ref="H132:J132"/>
    <mergeCell ref="H133:J133"/>
    <mergeCell ref="H134:J134"/>
    <mergeCell ref="D134:G134"/>
    <mergeCell ref="D133:G133"/>
    <mergeCell ref="D132:G132"/>
    <mergeCell ref="D131:G131"/>
    <mergeCell ref="D130:G130"/>
    <mergeCell ref="K135:N135"/>
    <mergeCell ref="K136:N136"/>
    <mergeCell ref="K137:N137"/>
    <mergeCell ref="K138:N138"/>
    <mergeCell ref="D138:G138"/>
    <mergeCell ref="D137:G137"/>
    <mergeCell ref="D136:G136"/>
    <mergeCell ref="D135:G135"/>
    <mergeCell ref="H135:J135"/>
    <mergeCell ref="H136:J136"/>
    <mergeCell ref="H137:J137"/>
    <mergeCell ref="H138:J138"/>
    <mergeCell ref="K130:N130"/>
    <mergeCell ref="K131:N131"/>
    <mergeCell ref="K132:N132"/>
    <mergeCell ref="K133:N133"/>
    <mergeCell ref="K134:N134"/>
    <mergeCell ref="B128:C128"/>
    <mergeCell ref="B129:C129"/>
    <mergeCell ref="B86:B91"/>
    <mergeCell ref="B92:B97"/>
    <mergeCell ref="B98:B103"/>
    <mergeCell ref="K128:N128"/>
    <mergeCell ref="K129:N129"/>
    <mergeCell ref="D129:G129"/>
    <mergeCell ref="D128:G128"/>
    <mergeCell ref="H128:J128"/>
    <mergeCell ref="H129:J129"/>
    <mergeCell ref="B5:I5"/>
    <mergeCell ref="B55:G55"/>
    <mergeCell ref="B82:F82"/>
    <mergeCell ref="B56:C57"/>
    <mergeCell ref="B6:C7"/>
    <mergeCell ref="D6:F6"/>
    <mergeCell ref="B30:I30"/>
    <mergeCell ref="G6:H6"/>
    <mergeCell ref="B9:B14"/>
    <mergeCell ref="B15:B20"/>
    <mergeCell ref="B21:B26"/>
    <mergeCell ref="B59:B64"/>
    <mergeCell ref="B83:C84"/>
    <mergeCell ref="F56:G56"/>
    <mergeCell ref="B40:B45"/>
    <mergeCell ref="B46:B51"/>
    <mergeCell ref="H31:I31"/>
    <mergeCell ref="B31:C32"/>
    <mergeCell ref="F31:G31"/>
    <mergeCell ref="B34:B39"/>
    <mergeCell ref="B65:B70"/>
    <mergeCell ref="B71:B76"/>
    <mergeCell ref="D83:F8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8"/>
  <sheetViews>
    <sheetView topLeftCell="A46" workbookViewId="0">
      <selection activeCell="D17" sqref="D17"/>
    </sheetView>
  </sheetViews>
  <sheetFormatPr defaultRowHeight="15" x14ac:dyDescent="0.25"/>
  <cols>
    <col min="1" max="1" width="30.28515625" customWidth="1"/>
    <col min="2" max="7" width="12.42578125" customWidth="1"/>
  </cols>
  <sheetData>
    <row r="2" spans="1:7" x14ac:dyDescent="0.25">
      <c r="A2" t="s">
        <v>88</v>
      </c>
    </row>
    <row r="4" spans="1:7" ht="15.75" x14ac:dyDescent="0.25">
      <c r="A4" s="25"/>
      <c r="B4" s="26">
        <v>2020</v>
      </c>
      <c r="C4" s="26">
        <v>2021</v>
      </c>
      <c r="D4" s="27">
        <v>2022</v>
      </c>
      <c r="E4" s="28"/>
      <c r="F4" s="28"/>
      <c r="G4" s="29"/>
    </row>
    <row r="5" spans="1:7" ht="15.75" x14ac:dyDescent="0.25">
      <c r="A5" s="30"/>
      <c r="B5" s="31" t="s">
        <v>89</v>
      </c>
      <c r="C5" s="31" t="s">
        <v>89</v>
      </c>
      <c r="D5" s="31" t="s">
        <v>90</v>
      </c>
      <c r="E5" s="32" t="s">
        <v>91</v>
      </c>
      <c r="F5" s="32" t="s">
        <v>92</v>
      </c>
      <c r="G5" s="32" t="s">
        <v>93</v>
      </c>
    </row>
    <row r="6" spans="1:7" ht="15.75" x14ac:dyDescent="0.25">
      <c r="A6" s="33" t="s">
        <v>94</v>
      </c>
      <c r="B6" s="53">
        <v>2250</v>
      </c>
      <c r="C6" s="53">
        <v>3000</v>
      </c>
      <c r="D6" s="53">
        <v>3750</v>
      </c>
      <c r="E6" s="53">
        <v>375</v>
      </c>
      <c r="F6" s="53">
        <v>1125</v>
      </c>
      <c r="G6" s="53">
        <v>2250</v>
      </c>
    </row>
    <row r="7" spans="1:7" ht="15.75" x14ac:dyDescent="0.25">
      <c r="A7" s="33" t="s">
        <v>95</v>
      </c>
      <c r="B7" s="53">
        <v>2166.75</v>
      </c>
      <c r="C7" s="53">
        <v>2889</v>
      </c>
      <c r="D7" s="53">
        <v>3611.25</v>
      </c>
      <c r="E7" s="53">
        <v>361.13</v>
      </c>
      <c r="F7" s="53">
        <v>1083.3800000000001</v>
      </c>
      <c r="G7" s="53">
        <v>2166.75</v>
      </c>
    </row>
    <row r="8" spans="1:7" ht="15.75" x14ac:dyDescent="0.25">
      <c r="A8" s="33" t="s">
        <v>96</v>
      </c>
      <c r="B8" s="53">
        <v>1166.6300000000001</v>
      </c>
      <c r="C8" s="53">
        <v>1555.5</v>
      </c>
      <c r="D8" s="53">
        <v>1944.38</v>
      </c>
      <c r="E8" s="53">
        <v>194.44</v>
      </c>
      <c r="F8" s="53">
        <v>583.30999999999995</v>
      </c>
      <c r="G8" s="53">
        <v>1166.6300000000001</v>
      </c>
    </row>
    <row r="9" spans="1:7" ht="15.75" x14ac:dyDescent="0.25">
      <c r="A9" s="33" t="s">
        <v>97</v>
      </c>
      <c r="B9" s="53">
        <v>1833.3</v>
      </c>
      <c r="C9" s="53">
        <v>2444.4</v>
      </c>
      <c r="D9" s="53">
        <v>3055.5</v>
      </c>
      <c r="E9" s="53">
        <v>305.55</v>
      </c>
      <c r="F9" s="53">
        <v>916.65</v>
      </c>
      <c r="G9" s="53">
        <v>1833.3</v>
      </c>
    </row>
    <row r="10" spans="1:7" ht="15.75" x14ac:dyDescent="0.25">
      <c r="A10" s="33" t="s">
        <v>98</v>
      </c>
      <c r="B10" s="53">
        <v>1750.05</v>
      </c>
      <c r="C10" s="53">
        <v>2333.4</v>
      </c>
      <c r="D10" s="53">
        <v>2916.75</v>
      </c>
      <c r="E10" s="53">
        <v>291.68</v>
      </c>
      <c r="F10" s="53">
        <v>875.03</v>
      </c>
      <c r="G10" s="53">
        <v>1750.05</v>
      </c>
    </row>
    <row r="11" spans="1:7" ht="15.75" x14ac:dyDescent="0.25">
      <c r="A11" s="33" t="s">
        <v>99</v>
      </c>
      <c r="B11" s="53">
        <v>1750.05</v>
      </c>
      <c r="C11" s="53">
        <v>2333.4</v>
      </c>
      <c r="D11" s="53">
        <v>2916.75</v>
      </c>
      <c r="E11" s="53">
        <v>291.68</v>
      </c>
      <c r="F11" s="53">
        <v>875.03</v>
      </c>
      <c r="G11" s="53">
        <v>1750.05</v>
      </c>
    </row>
    <row r="12" spans="1:7" ht="15.75" x14ac:dyDescent="0.25">
      <c r="A12" s="33" t="s">
        <v>100</v>
      </c>
      <c r="B12" s="53">
        <v>1166.6300000000001</v>
      </c>
      <c r="C12" s="53">
        <v>1555.5</v>
      </c>
      <c r="D12" s="53">
        <v>1944.38</v>
      </c>
      <c r="E12" s="53">
        <v>194.44</v>
      </c>
      <c r="F12" s="53">
        <v>583.30999999999995</v>
      </c>
      <c r="G12" s="53">
        <v>1166.6300000000001</v>
      </c>
    </row>
    <row r="13" spans="1:7" ht="15.75" x14ac:dyDescent="0.25">
      <c r="A13" s="33" t="s">
        <v>101</v>
      </c>
      <c r="B13" s="53">
        <v>833.5</v>
      </c>
      <c r="C13" s="53">
        <v>1111.2</v>
      </c>
      <c r="D13" s="53">
        <v>1389</v>
      </c>
      <c r="E13" s="53">
        <v>138.9</v>
      </c>
      <c r="F13" s="53">
        <v>416.7</v>
      </c>
      <c r="G13" s="53">
        <v>833.4</v>
      </c>
    </row>
    <row r="18" spans="1:6" x14ac:dyDescent="0.25">
      <c r="A18" t="s">
        <v>102</v>
      </c>
    </row>
    <row r="19" spans="1:6" x14ac:dyDescent="0.25">
      <c r="A19" s="34" t="s">
        <v>103</v>
      </c>
      <c r="B19" s="34" t="s">
        <v>104</v>
      </c>
      <c r="C19" s="34" t="s">
        <v>105</v>
      </c>
      <c r="D19" s="230" t="s">
        <v>106</v>
      </c>
      <c r="E19" s="230"/>
      <c r="F19" s="230"/>
    </row>
    <row r="20" spans="1:6" x14ac:dyDescent="0.25">
      <c r="A20" s="34"/>
      <c r="B20" s="34"/>
      <c r="C20" s="34"/>
      <c r="D20" s="9" t="s">
        <v>107</v>
      </c>
      <c r="E20" s="9" t="s">
        <v>108</v>
      </c>
      <c r="F20" s="34" t="s">
        <v>109</v>
      </c>
    </row>
    <row r="21" spans="1:6" x14ac:dyDescent="0.25">
      <c r="A21" s="227" t="s">
        <v>94</v>
      </c>
      <c r="B21" s="223" t="s">
        <v>14</v>
      </c>
      <c r="C21" s="35" t="s">
        <v>15</v>
      </c>
      <c r="D21" s="36">
        <v>297.14999999999998</v>
      </c>
      <c r="E21" s="37">
        <v>594.30999999999995</v>
      </c>
      <c r="F21" s="36">
        <v>891.46</v>
      </c>
    </row>
    <row r="22" spans="1:6" x14ac:dyDescent="0.25">
      <c r="A22" s="227"/>
      <c r="B22" s="223"/>
      <c r="C22" s="35" t="s">
        <v>16</v>
      </c>
      <c r="D22" s="36">
        <v>303.10000000000002</v>
      </c>
      <c r="E22" s="37">
        <v>606.19000000000005</v>
      </c>
      <c r="F22" s="36">
        <v>909.29</v>
      </c>
    </row>
    <row r="23" spans="1:6" x14ac:dyDescent="0.25">
      <c r="A23" s="227"/>
      <c r="B23" s="223"/>
      <c r="C23" s="35" t="s">
        <v>17</v>
      </c>
      <c r="D23" s="36">
        <v>309.16000000000003</v>
      </c>
      <c r="E23" s="37">
        <v>618.32000000000005</v>
      </c>
      <c r="F23" s="36">
        <v>927.48</v>
      </c>
    </row>
    <row r="24" spans="1:6" x14ac:dyDescent="0.25">
      <c r="A24" s="227"/>
      <c r="B24" s="223"/>
      <c r="C24" s="35" t="s">
        <v>18</v>
      </c>
      <c r="D24" s="36">
        <v>315.33999999999997</v>
      </c>
      <c r="E24" s="37">
        <v>630.67999999999995</v>
      </c>
      <c r="F24" s="36">
        <v>946.02</v>
      </c>
    </row>
    <row r="25" spans="1:6" x14ac:dyDescent="0.25">
      <c r="A25" s="227"/>
      <c r="B25" s="223"/>
      <c r="C25" s="35" t="s">
        <v>19</v>
      </c>
      <c r="D25" s="36">
        <v>321.64999999999998</v>
      </c>
      <c r="E25" s="37">
        <v>643.29999999999995</v>
      </c>
      <c r="F25" s="36">
        <v>964.94</v>
      </c>
    </row>
    <row r="26" spans="1:6" x14ac:dyDescent="0.25">
      <c r="A26" s="227"/>
      <c r="B26" s="223"/>
      <c r="C26" s="35" t="s">
        <v>20</v>
      </c>
      <c r="D26" s="36">
        <v>328.08</v>
      </c>
      <c r="E26" s="37">
        <v>656.16</v>
      </c>
      <c r="F26" s="36">
        <v>984.24</v>
      </c>
    </row>
    <row r="27" spans="1:6" x14ac:dyDescent="0.25">
      <c r="A27" s="227" t="s">
        <v>110</v>
      </c>
      <c r="B27" s="223" t="s">
        <v>21</v>
      </c>
      <c r="C27" s="35" t="s">
        <v>15</v>
      </c>
      <c r="D27" s="36">
        <v>334.64</v>
      </c>
      <c r="E27" s="37">
        <v>669.29</v>
      </c>
      <c r="F27" s="38">
        <v>1003.93</v>
      </c>
    </row>
    <row r="28" spans="1:6" x14ac:dyDescent="0.25">
      <c r="A28" s="227"/>
      <c r="B28" s="223"/>
      <c r="C28" s="35" t="s">
        <v>16</v>
      </c>
      <c r="D28" s="36">
        <v>341.34</v>
      </c>
      <c r="E28" s="37">
        <v>682.67</v>
      </c>
      <c r="F28" s="38">
        <v>1024.01</v>
      </c>
    </row>
    <row r="29" spans="1:6" x14ac:dyDescent="0.25">
      <c r="A29" s="227"/>
      <c r="B29" s="223"/>
      <c r="C29" s="35" t="s">
        <v>17</v>
      </c>
      <c r="D29" s="36">
        <v>348.16</v>
      </c>
      <c r="E29" s="37">
        <v>696.33</v>
      </c>
      <c r="F29" s="38">
        <v>1044.49</v>
      </c>
    </row>
    <row r="30" spans="1:6" x14ac:dyDescent="0.25">
      <c r="A30" s="227"/>
      <c r="B30" s="223"/>
      <c r="C30" s="35" t="s">
        <v>18</v>
      </c>
      <c r="D30" s="36">
        <v>355.13</v>
      </c>
      <c r="E30" s="37">
        <v>710.25</v>
      </c>
      <c r="F30" s="38">
        <v>1065.3800000000001</v>
      </c>
    </row>
    <row r="31" spans="1:6" x14ac:dyDescent="0.25">
      <c r="A31" s="227"/>
      <c r="B31" s="223"/>
      <c r="C31" s="35" t="s">
        <v>19</v>
      </c>
      <c r="D31" s="36">
        <v>362.23</v>
      </c>
      <c r="E31" s="37">
        <v>724.46</v>
      </c>
      <c r="F31" s="38">
        <v>1086.69</v>
      </c>
    </row>
    <row r="32" spans="1:6" x14ac:dyDescent="0.25">
      <c r="A32" s="227"/>
      <c r="B32" s="223"/>
      <c r="C32" s="35" t="s">
        <v>20</v>
      </c>
      <c r="D32" s="36">
        <v>369.47</v>
      </c>
      <c r="E32" s="37">
        <v>738.95</v>
      </c>
      <c r="F32" s="38">
        <v>1108.42</v>
      </c>
    </row>
    <row r="33" spans="1:9" x14ac:dyDescent="0.25">
      <c r="A33" s="227" t="s">
        <v>111</v>
      </c>
      <c r="B33" s="227" t="s">
        <v>112</v>
      </c>
      <c r="C33" s="35" t="s">
        <v>15</v>
      </c>
      <c r="D33" s="36">
        <v>376.86</v>
      </c>
      <c r="E33" s="37">
        <v>753.72</v>
      </c>
      <c r="F33" s="38">
        <v>1130.58</v>
      </c>
    </row>
    <row r="34" spans="1:9" x14ac:dyDescent="0.25">
      <c r="A34" s="227"/>
      <c r="B34" s="227"/>
      <c r="C34" s="35" t="s">
        <v>16</v>
      </c>
      <c r="D34" s="36">
        <v>384.4</v>
      </c>
      <c r="E34" s="37">
        <v>768.8</v>
      </c>
      <c r="F34" s="38">
        <v>1153.2</v>
      </c>
    </row>
    <row r="35" spans="1:9" x14ac:dyDescent="0.25">
      <c r="A35" s="227"/>
      <c r="B35" s="227"/>
      <c r="C35" s="35" t="s">
        <v>17</v>
      </c>
      <c r="D35" s="36">
        <v>392.09</v>
      </c>
      <c r="E35" s="37">
        <v>784.17</v>
      </c>
      <c r="F35" s="38">
        <v>1176.26</v>
      </c>
    </row>
    <row r="36" spans="1:9" x14ac:dyDescent="0.25">
      <c r="A36" s="227"/>
      <c r="B36" s="227"/>
      <c r="C36" s="35" t="s">
        <v>18</v>
      </c>
      <c r="D36" s="36">
        <v>399.93</v>
      </c>
      <c r="E36" s="37">
        <v>799.86</v>
      </c>
      <c r="F36" s="38">
        <v>1199.79</v>
      </c>
    </row>
    <row r="37" spans="1:9" x14ac:dyDescent="0.25">
      <c r="A37" s="227"/>
      <c r="B37" s="227"/>
      <c r="C37" s="35" t="s">
        <v>19</v>
      </c>
      <c r="D37" s="36">
        <v>407.92</v>
      </c>
      <c r="E37" s="37">
        <v>815.85</v>
      </c>
      <c r="F37" s="38">
        <v>1223.78</v>
      </c>
    </row>
    <row r="38" spans="1:9" x14ac:dyDescent="0.25">
      <c r="A38" s="227"/>
      <c r="B38" s="227"/>
      <c r="C38" s="35" t="s">
        <v>20</v>
      </c>
      <c r="D38" s="36">
        <v>416.08</v>
      </c>
      <c r="E38" s="37">
        <v>832.17</v>
      </c>
      <c r="F38" s="38">
        <v>1248.26</v>
      </c>
    </row>
    <row r="39" spans="1:9" x14ac:dyDescent="0.25">
      <c r="B39" s="39"/>
      <c r="C39" s="39"/>
      <c r="D39" s="39"/>
      <c r="E39" s="39"/>
      <c r="F39" s="39"/>
    </row>
    <row r="40" spans="1:9" x14ac:dyDescent="0.25"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t="s">
        <v>113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40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179" t="s">
        <v>114</v>
      </c>
      <c r="B43" s="179"/>
      <c r="C43" s="179"/>
      <c r="D43" s="179"/>
      <c r="E43" s="179"/>
      <c r="F43" s="179"/>
      <c r="G43" s="179"/>
      <c r="H43" s="39"/>
      <c r="I43" s="39"/>
    </row>
    <row r="44" spans="1:9" x14ac:dyDescent="0.25">
      <c r="A44" s="227" t="s">
        <v>115</v>
      </c>
      <c r="B44" s="223" t="s">
        <v>116</v>
      </c>
      <c r="C44" s="223" t="s">
        <v>117</v>
      </c>
      <c r="D44" s="231" t="s">
        <v>106</v>
      </c>
      <c r="E44" s="231"/>
      <c r="F44" s="231"/>
      <c r="G44" s="231"/>
      <c r="H44" s="39"/>
      <c r="I44" s="39"/>
    </row>
    <row r="45" spans="1:9" ht="38.25" x14ac:dyDescent="0.25">
      <c r="A45" s="227"/>
      <c r="B45" s="223"/>
      <c r="C45" s="223"/>
      <c r="D45" s="7" t="s">
        <v>118</v>
      </c>
      <c r="E45" s="7" t="s">
        <v>107</v>
      </c>
      <c r="F45" s="7" t="s">
        <v>108</v>
      </c>
      <c r="G45" s="7" t="s">
        <v>109</v>
      </c>
      <c r="H45" s="39"/>
      <c r="I45" s="39"/>
    </row>
    <row r="46" spans="1:9" ht="24" customHeight="1" x14ac:dyDescent="0.25">
      <c r="A46" s="227" t="s">
        <v>119</v>
      </c>
      <c r="B46" s="229" t="s">
        <v>14</v>
      </c>
      <c r="C46" s="41" t="s">
        <v>15</v>
      </c>
      <c r="D46" s="42">
        <v>157.82</v>
      </c>
      <c r="E46" s="36">
        <v>157.82</v>
      </c>
      <c r="F46" s="36">
        <v>315.64</v>
      </c>
      <c r="G46" s="36">
        <v>473.46</v>
      </c>
      <c r="H46" s="39"/>
      <c r="I46" s="39"/>
    </row>
    <row r="47" spans="1:9" x14ac:dyDescent="0.25">
      <c r="A47" s="227"/>
      <c r="B47" s="229"/>
      <c r="C47" s="41" t="s">
        <v>16</v>
      </c>
      <c r="D47" s="42">
        <v>160.97999999999999</v>
      </c>
      <c r="E47" s="36">
        <v>160.97999999999999</v>
      </c>
      <c r="F47" s="36">
        <v>321.95999999999998</v>
      </c>
      <c r="G47" s="36">
        <v>482.94</v>
      </c>
    </row>
    <row r="48" spans="1:9" x14ac:dyDescent="0.25">
      <c r="A48" s="227"/>
      <c r="B48" s="229"/>
      <c r="C48" s="41" t="s">
        <v>17</v>
      </c>
      <c r="D48" s="42">
        <v>164.2</v>
      </c>
      <c r="E48" s="36">
        <v>164.2</v>
      </c>
      <c r="F48" s="36">
        <v>328.4</v>
      </c>
      <c r="G48" s="36">
        <v>492.6</v>
      </c>
    </row>
    <row r="49" spans="1:7" x14ac:dyDescent="0.25">
      <c r="A49" s="227"/>
      <c r="B49" s="229"/>
      <c r="C49" s="41" t="s">
        <v>18</v>
      </c>
      <c r="D49" s="42">
        <v>167.48</v>
      </c>
      <c r="E49" s="36">
        <v>167.48</v>
      </c>
      <c r="F49" s="36">
        <v>334.96</v>
      </c>
      <c r="G49" s="36">
        <v>502.44</v>
      </c>
    </row>
    <row r="50" spans="1:7" x14ac:dyDescent="0.25">
      <c r="A50" s="227"/>
      <c r="B50" s="229"/>
      <c r="C50" s="41" t="s">
        <v>19</v>
      </c>
      <c r="D50" s="42">
        <v>170.83</v>
      </c>
      <c r="E50" s="36">
        <v>170.83</v>
      </c>
      <c r="F50" s="36">
        <v>341.66</v>
      </c>
      <c r="G50" s="36">
        <v>512.49</v>
      </c>
    </row>
    <row r="51" spans="1:7" x14ac:dyDescent="0.25">
      <c r="A51" s="227"/>
      <c r="B51" s="229"/>
      <c r="C51" s="41" t="s">
        <v>20</v>
      </c>
      <c r="D51" s="42">
        <v>174.25</v>
      </c>
      <c r="E51" s="36">
        <v>174.25</v>
      </c>
      <c r="F51" s="36">
        <v>348.5</v>
      </c>
      <c r="G51" s="36">
        <v>522.75</v>
      </c>
    </row>
    <row r="52" spans="1:7" x14ac:dyDescent="0.25">
      <c r="A52" s="227"/>
      <c r="B52" s="229" t="s">
        <v>21</v>
      </c>
      <c r="C52" s="41" t="s">
        <v>15</v>
      </c>
      <c r="D52" s="42">
        <v>177.73</v>
      </c>
      <c r="E52" s="36">
        <v>177.73</v>
      </c>
      <c r="F52" s="36">
        <v>355.46</v>
      </c>
      <c r="G52" s="36">
        <v>533.19000000000005</v>
      </c>
    </row>
    <row r="53" spans="1:7" x14ac:dyDescent="0.25">
      <c r="A53" s="227"/>
      <c r="B53" s="229"/>
      <c r="C53" s="41" t="s">
        <v>16</v>
      </c>
      <c r="D53" s="42">
        <v>181.29</v>
      </c>
      <c r="E53" s="36">
        <v>181.29</v>
      </c>
      <c r="F53" s="36">
        <v>362.58</v>
      </c>
      <c r="G53" s="36">
        <v>543.87</v>
      </c>
    </row>
    <row r="54" spans="1:7" x14ac:dyDescent="0.25">
      <c r="A54" s="227"/>
      <c r="B54" s="229"/>
      <c r="C54" s="41" t="s">
        <v>17</v>
      </c>
      <c r="D54" s="42">
        <v>184.91</v>
      </c>
      <c r="E54" s="36">
        <v>184.91</v>
      </c>
      <c r="F54" s="36">
        <v>369.82</v>
      </c>
      <c r="G54" s="36">
        <v>554.73</v>
      </c>
    </row>
    <row r="55" spans="1:7" x14ac:dyDescent="0.25">
      <c r="A55" s="227"/>
      <c r="B55" s="229"/>
      <c r="C55" s="41" t="s">
        <v>18</v>
      </c>
      <c r="D55" s="42">
        <v>188.61</v>
      </c>
      <c r="E55" s="36">
        <v>188.61</v>
      </c>
      <c r="F55" s="36">
        <v>377.22</v>
      </c>
      <c r="G55" s="36">
        <v>565.83000000000004</v>
      </c>
    </row>
    <row r="56" spans="1:7" x14ac:dyDescent="0.25">
      <c r="A56" s="227"/>
      <c r="B56" s="229"/>
      <c r="C56" s="41" t="s">
        <v>19</v>
      </c>
      <c r="D56" s="42">
        <v>192.38</v>
      </c>
      <c r="E56" s="36">
        <v>192.38</v>
      </c>
      <c r="F56" s="43">
        <v>384.76</v>
      </c>
      <c r="G56" s="36">
        <v>577.14</v>
      </c>
    </row>
    <row r="57" spans="1:7" x14ac:dyDescent="0.25">
      <c r="A57" s="227"/>
      <c r="B57" s="229"/>
      <c r="C57" s="41" t="s">
        <v>20</v>
      </c>
      <c r="D57" s="42">
        <v>196.23</v>
      </c>
      <c r="E57" s="36">
        <v>196.23</v>
      </c>
      <c r="F57" s="43">
        <v>392.46</v>
      </c>
      <c r="G57" s="36">
        <v>588.69000000000005</v>
      </c>
    </row>
    <row r="58" spans="1:7" x14ac:dyDescent="0.25">
      <c r="A58" s="227"/>
      <c r="B58" s="179" t="s">
        <v>112</v>
      </c>
      <c r="C58" s="41" t="s">
        <v>15</v>
      </c>
      <c r="D58" s="44">
        <v>200.15</v>
      </c>
      <c r="E58" s="45">
        <v>200.15</v>
      </c>
      <c r="F58" s="46">
        <v>400.3</v>
      </c>
      <c r="G58" s="36">
        <v>600.45000000000005</v>
      </c>
    </row>
    <row r="59" spans="1:7" x14ac:dyDescent="0.25">
      <c r="A59" s="227"/>
      <c r="B59" s="179"/>
      <c r="C59" s="41" t="s">
        <v>16</v>
      </c>
      <c r="D59" s="44">
        <v>204.16</v>
      </c>
      <c r="E59" s="45">
        <v>204.16</v>
      </c>
      <c r="F59" s="46">
        <v>408.32</v>
      </c>
      <c r="G59" s="36">
        <v>612.48</v>
      </c>
    </row>
    <row r="60" spans="1:7" x14ac:dyDescent="0.25">
      <c r="A60" s="227"/>
      <c r="B60" s="179"/>
      <c r="C60" s="41" t="s">
        <v>17</v>
      </c>
      <c r="D60" s="44">
        <v>208.24</v>
      </c>
      <c r="E60" s="45">
        <v>208.24</v>
      </c>
      <c r="F60" s="46">
        <v>416.48</v>
      </c>
      <c r="G60" s="36">
        <v>624.72</v>
      </c>
    </row>
    <row r="61" spans="1:7" x14ac:dyDescent="0.25">
      <c r="A61" s="227"/>
      <c r="B61" s="179"/>
      <c r="C61" s="41" t="s">
        <v>18</v>
      </c>
      <c r="D61" s="44">
        <v>212.41</v>
      </c>
      <c r="E61" s="45">
        <v>212.41</v>
      </c>
      <c r="F61" s="46">
        <v>424.82</v>
      </c>
      <c r="G61" s="36">
        <v>637.23</v>
      </c>
    </row>
    <row r="62" spans="1:7" x14ac:dyDescent="0.25">
      <c r="A62" s="227"/>
      <c r="B62" s="179"/>
      <c r="C62" s="41" t="s">
        <v>19</v>
      </c>
      <c r="D62" s="44">
        <v>216.65</v>
      </c>
      <c r="E62" s="45">
        <v>216.65</v>
      </c>
      <c r="F62" s="46">
        <v>433.31</v>
      </c>
      <c r="G62" s="36">
        <v>649.97</v>
      </c>
    </row>
    <row r="63" spans="1:7" x14ac:dyDescent="0.25">
      <c r="A63" s="228"/>
      <c r="B63" s="187"/>
      <c r="C63" s="47" t="s">
        <v>20</v>
      </c>
      <c r="D63" s="48">
        <v>220.99</v>
      </c>
      <c r="E63" s="49">
        <v>220.99</v>
      </c>
      <c r="F63" s="50">
        <v>441.98</v>
      </c>
      <c r="G63" s="51">
        <v>662.97</v>
      </c>
    </row>
    <row r="64" spans="1:7" x14ac:dyDescent="0.25">
      <c r="A64" s="227" t="s">
        <v>115</v>
      </c>
      <c r="B64" s="223" t="s">
        <v>116</v>
      </c>
      <c r="C64" s="223" t="s">
        <v>117</v>
      </c>
      <c r="D64" s="231" t="s">
        <v>106</v>
      </c>
      <c r="E64" s="231"/>
      <c r="F64" s="231"/>
      <c r="G64" s="231"/>
    </row>
    <row r="65" spans="1:7" ht="38.25" x14ac:dyDescent="0.25">
      <c r="A65" s="227"/>
      <c r="B65" s="223"/>
      <c r="C65" s="223"/>
      <c r="D65" s="7" t="s">
        <v>118</v>
      </c>
      <c r="E65" s="7" t="s">
        <v>107</v>
      </c>
      <c r="F65" s="7" t="s">
        <v>108</v>
      </c>
      <c r="G65" s="7" t="s">
        <v>109</v>
      </c>
    </row>
    <row r="66" spans="1:7" ht="15" customHeight="1" x14ac:dyDescent="0.25">
      <c r="A66" s="184" t="s">
        <v>120</v>
      </c>
      <c r="B66" s="183" t="s">
        <v>14</v>
      </c>
      <c r="C66" s="41" t="s">
        <v>15</v>
      </c>
      <c r="D66" s="36">
        <v>190.71</v>
      </c>
      <c r="E66" s="36">
        <v>190.71</v>
      </c>
      <c r="F66" s="36">
        <v>381.42</v>
      </c>
      <c r="G66" s="36">
        <v>572.13</v>
      </c>
    </row>
    <row r="67" spans="1:7" x14ac:dyDescent="0.25">
      <c r="A67" s="185"/>
      <c r="B67" s="183"/>
      <c r="C67" s="41" t="s">
        <v>16</v>
      </c>
      <c r="D67" s="36">
        <v>194.53</v>
      </c>
      <c r="E67" s="36">
        <v>194.53</v>
      </c>
      <c r="F67" s="36">
        <v>389.06</v>
      </c>
      <c r="G67" s="36">
        <v>583.59</v>
      </c>
    </row>
    <row r="68" spans="1:7" x14ac:dyDescent="0.25">
      <c r="A68" s="185"/>
      <c r="B68" s="183"/>
      <c r="C68" s="41" t="s">
        <v>17</v>
      </c>
      <c r="D68" s="36">
        <v>198.42</v>
      </c>
      <c r="E68" s="36">
        <v>198.42</v>
      </c>
      <c r="F68" s="36">
        <v>396.84</v>
      </c>
      <c r="G68" s="36">
        <v>595.26</v>
      </c>
    </row>
    <row r="69" spans="1:7" x14ac:dyDescent="0.25">
      <c r="A69" s="185"/>
      <c r="B69" s="183"/>
      <c r="C69" s="41" t="s">
        <v>18</v>
      </c>
      <c r="D69" s="36">
        <v>202.38</v>
      </c>
      <c r="E69" s="36">
        <v>202.38</v>
      </c>
      <c r="F69" s="36">
        <v>404.76</v>
      </c>
      <c r="G69" s="36">
        <v>607.14</v>
      </c>
    </row>
    <row r="70" spans="1:7" x14ac:dyDescent="0.25">
      <c r="A70" s="185"/>
      <c r="B70" s="183"/>
      <c r="C70" s="41" t="s">
        <v>19</v>
      </c>
      <c r="D70" s="36">
        <v>206.43</v>
      </c>
      <c r="E70" s="36">
        <v>206.43</v>
      </c>
      <c r="F70" s="36">
        <v>412.86</v>
      </c>
      <c r="G70" s="36">
        <v>619.29</v>
      </c>
    </row>
    <row r="71" spans="1:7" x14ac:dyDescent="0.25">
      <c r="A71" s="185"/>
      <c r="B71" s="183"/>
      <c r="C71" s="41" t="s">
        <v>20</v>
      </c>
      <c r="D71" s="36">
        <v>210.56</v>
      </c>
      <c r="E71" s="36">
        <v>210.56</v>
      </c>
      <c r="F71" s="36">
        <v>421.12</v>
      </c>
      <c r="G71" s="36">
        <v>631.67999999999995</v>
      </c>
    </row>
    <row r="72" spans="1:7" x14ac:dyDescent="0.25">
      <c r="A72" s="185"/>
      <c r="B72" s="183" t="s">
        <v>21</v>
      </c>
      <c r="C72" s="41" t="s">
        <v>15</v>
      </c>
      <c r="D72" s="36">
        <v>214.77</v>
      </c>
      <c r="E72" s="36">
        <v>214.77</v>
      </c>
      <c r="F72" s="36">
        <v>429.54</v>
      </c>
      <c r="G72" s="36">
        <v>644.30999999999995</v>
      </c>
    </row>
    <row r="73" spans="1:7" x14ac:dyDescent="0.25">
      <c r="A73" s="185"/>
      <c r="B73" s="183"/>
      <c r="C73" s="41" t="s">
        <v>16</v>
      </c>
      <c r="D73" s="36">
        <v>219.07</v>
      </c>
      <c r="E73" s="36">
        <v>219.07</v>
      </c>
      <c r="F73" s="36">
        <v>438.14</v>
      </c>
      <c r="G73" s="36">
        <v>657.21</v>
      </c>
    </row>
    <row r="74" spans="1:7" x14ac:dyDescent="0.25">
      <c r="A74" s="185"/>
      <c r="B74" s="183"/>
      <c r="C74" s="41" t="s">
        <v>17</v>
      </c>
      <c r="D74" s="36">
        <v>223.45</v>
      </c>
      <c r="E74" s="36">
        <v>223.45</v>
      </c>
      <c r="F74" s="36">
        <v>446.9</v>
      </c>
      <c r="G74" s="36">
        <v>670.35</v>
      </c>
    </row>
    <row r="75" spans="1:7" x14ac:dyDescent="0.25">
      <c r="A75" s="185"/>
      <c r="B75" s="183"/>
      <c r="C75" s="41" t="s">
        <v>18</v>
      </c>
      <c r="D75" s="36">
        <v>227.92</v>
      </c>
      <c r="E75" s="36">
        <v>227.92</v>
      </c>
      <c r="F75" s="36">
        <v>455.84</v>
      </c>
      <c r="G75" s="36">
        <v>683.76</v>
      </c>
    </row>
    <row r="76" spans="1:7" x14ac:dyDescent="0.25">
      <c r="A76" s="185"/>
      <c r="B76" s="183"/>
      <c r="C76" s="41" t="s">
        <v>19</v>
      </c>
      <c r="D76" s="36">
        <v>232.47</v>
      </c>
      <c r="E76" s="36">
        <v>232.47</v>
      </c>
      <c r="F76" s="36">
        <v>464.94</v>
      </c>
      <c r="G76" s="36">
        <v>697.41</v>
      </c>
    </row>
    <row r="77" spans="1:7" x14ac:dyDescent="0.25">
      <c r="A77" s="185"/>
      <c r="B77" s="183"/>
      <c r="C77" s="41" t="s">
        <v>20</v>
      </c>
      <c r="D77" s="36">
        <v>237.12</v>
      </c>
      <c r="E77" s="36">
        <v>237.12</v>
      </c>
      <c r="F77" s="36">
        <v>474.24</v>
      </c>
      <c r="G77" s="36">
        <v>711.36</v>
      </c>
    </row>
    <row r="78" spans="1:7" x14ac:dyDescent="0.25">
      <c r="A78" s="185"/>
      <c r="B78" s="187" t="s">
        <v>112</v>
      </c>
      <c r="C78" s="41" t="s">
        <v>15</v>
      </c>
      <c r="D78" s="36">
        <v>241.87</v>
      </c>
      <c r="E78" s="36">
        <v>241.87</v>
      </c>
      <c r="F78" s="36">
        <v>483.74</v>
      </c>
      <c r="G78" s="36">
        <v>725.61</v>
      </c>
    </row>
    <row r="79" spans="1:7" x14ac:dyDescent="0.25">
      <c r="A79" s="185"/>
      <c r="B79" s="188"/>
      <c r="C79" s="41" t="s">
        <v>16</v>
      </c>
      <c r="D79" s="36">
        <v>246.7</v>
      </c>
      <c r="E79" s="36">
        <v>246.7</v>
      </c>
      <c r="F79" s="36">
        <v>493.4</v>
      </c>
      <c r="G79" s="36">
        <v>740.1</v>
      </c>
    </row>
    <row r="80" spans="1:7" x14ac:dyDescent="0.25">
      <c r="A80" s="185"/>
      <c r="B80" s="188"/>
      <c r="C80" s="41" t="s">
        <v>17</v>
      </c>
      <c r="D80" s="36">
        <v>251.64</v>
      </c>
      <c r="E80" s="36">
        <v>251.64</v>
      </c>
      <c r="F80" s="36">
        <v>503.28</v>
      </c>
      <c r="G80" s="36">
        <v>754.92</v>
      </c>
    </row>
    <row r="81" spans="1:7" x14ac:dyDescent="0.25">
      <c r="A81" s="186"/>
      <c r="B81" s="189"/>
      <c r="C81" s="41" t="s">
        <v>18</v>
      </c>
      <c r="D81" s="36">
        <v>256.67</v>
      </c>
      <c r="E81" s="36">
        <v>256.67</v>
      </c>
      <c r="F81" s="36">
        <v>513.34</v>
      </c>
      <c r="G81" s="36">
        <v>770.01</v>
      </c>
    </row>
    <row r="82" spans="1:7" x14ac:dyDescent="0.25">
      <c r="A82" s="232"/>
      <c r="B82" s="187"/>
      <c r="C82" s="41" t="s">
        <v>19</v>
      </c>
      <c r="D82" s="36">
        <v>261.8</v>
      </c>
      <c r="E82" s="36">
        <v>261.8</v>
      </c>
      <c r="F82" s="36">
        <v>523.6</v>
      </c>
      <c r="G82" s="36">
        <v>785.41</v>
      </c>
    </row>
    <row r="83" spans="1:7" x14ac:dyDescent="0.25">
      <c r="A83" s="233"/>
      <c r="B83" s="189"/>
      <c r="C83" s="41" t="s">
        <v>20</v>
      </c>
      <c r="D83" s="36">
        <v>267.02999999999997</v>
      </c>
      <c r="E83" s="36">
        <v>267.08999999999997</v>
      </c>
      <c r="F83" s="36">
        <v>534.07000000000005</v>
      </c>
      <c r="G83" s="36">
        <v>801.11</v>
      </c>
    </row>
    <row r="85" spans="1:7" x14ac:dyDescent="0.25">
      <c r="A85" s="227" t="s">
        <v>115</v>
      </c>
      <c r="B85" s="223" t="s">
        <v>116</v>
      </c>
      <c r="C85" s="223" t="s">
        <v>117</v>
      </c>
      <c r="D85" s="231" t="s">
        <v>106</v>
      </c>
      <c r="E85" s="231"/>
      <c r="F85" s="231"/>
      <c r="G85" s="231"/>
    </row>
    <row r="86" spans="1:7" ht="38.25" x14ac:dyDescent="0.25">
      <c r="A86" s="227"/>
      <c r="B86" s="223"/>
      <c r="C86" s="223"/>
      <c r="D86" s="7" t="s">
        <v>118</v>
      </c>
      <c r="E86" s="7" t="s">
        <v>107</v>
      </c>
      <c r="F86" s="7" t="s">
        <v>108</v>
      </c>
      <c r="G86" s="7" t="s">
        <v>109</v>
      </c>
    </row>
    <row r="87" spans="1:7" x14ac:dyDescent="0.25">
      <c r="A87" s="183" t="s">
        <v>121</v>
      </c>
      <c r="B87" s="179" t="s">
        <v>14</v>
      </c>
      <c r="C87" s="41" t="s">
        <v>15</v>
      </c>
      <c r="D87" s="36">
        <v>129.97</v>
      </c>
      <c r="E87" s="36">
        <v>129.97</v>
      </c>
      <c r="F87" s="36">
        <v>259.94</v>
      </c>
      <c r="G87" s="36">
        <v>389.91</v>
      </c>
    </row>
    <row r="88" spans="1:7" x14ac:dyDescent="0.25">
      <c r="A88" s="183"/>
      <c r="B88" s="179"/>
      <c r="C88" s="41" t="s">
        <v>16</v>
      </c>
      <c r="D88" s="36">
        <v>132.57</v>
      </c>
      <c r="E88" s="36">
        <v>132.57</v>
      </c>
      <c r="F88" s="36">
        <v>265.14</v>
      </c>
      <c r="G88" s="36">
        <v>397.71</v>
      </c>
    </row>
    <row r="89" spans="1:7" x14ac:dyDescent="0.25">
      <c r="A89" s="183"/>
      <c r="B89" s="179"/>
      <c r="C89" s="41" t="s">
        <v>17</v>
      </c>
      <c r="D89" s="36">
        <v>135.22</v>
      </c>
      <c r="E89" s="36">
        <v>135.22</v>
      </c>
      <c r="F89" s="36">
        <v>270.44</v>
      </c>
      <c r="G89" s="36">
        <v>405.66</v>
      </c>
    </row>
    <row r="90" spans="1:7" x14ac:dyDescent="0.25">
      <c r="A90" s="183"/>
      <c r="B90" s="179"/>
      <c r="C90" s="41" t="s">
        <v>18</v>
      </c>
      <c r="D90" s="36">
        <v>137.91999999999999</v>
      </c>
      <c r="E90" s="36">
        <v>137.91999999999999</v>
      </c>
      <c r="F90" s="36">
        <v>275.83999999999997</v>
      </c>
      <c r="G90" s="36">
        <v>413.76</v>
      </c>
    </row>
    <row r="91" spans="1:7" x14ac:dyDescent="0.25">
      <c r="A91" s="183"/>
      <c r="B91" s="179"/>
      <c r="C91" s="41" t="s">
        <v>19</v>
      </c>
      <c r="D91" s="36">
        <v>140.68</v>
      </c>
      <c r="E91" s="36">
        <v>140.68</v>
      </c>
      <c r="F91" s="36">
        <v>281.36</v>
      </c>
      <c r="G91" s="36">
        <v>422.04</v>
      </c>
    </row>
    <row r="92" spans="1:7" x14ac:dyDescent="0.25">
      <c r="A92" s="183"/>
      <c r="B92" s="179"/>
      <c r="C92" s="41" t="s">
        <v>20</v>
      </c>
      <c r="D92" s="36">
        <v>143.5</v>
      </c>
      <c r="E92" s="36">
        <v>143.5</v>
      </c>
      <c r="F92" s="36">
        <v>287</v>
      </c>
      <c r="G92" s="36">
        <v>430.5</v>
      </c>
    </row>
    <row r="93" spans="1:7" x14ac:dyDescent="0.25">
      <c r="A93" s="183"/>
      <c r="B93" s="179" t="s">
        <v>21</v>
      </c>
      <c r="C93" s="41" t="s">
        <v>15</v>
      </c>
      <c r="D93" s="36">
        <v>146.36000000000001</v>
      </c>
      <c r="E93" s="36">
        <v>146.36000000000001</v>
      </c>
      <c r="F93" s="36">
        <v>292.72000000000003</v>
      </c>
      <c r="G93" s="36">
        <v>439.08</v>
      </c>
    </row>
    <row r="94" spans="1:7" x14ac:dyDescent="0.25">
      <c r="A94" s="183"/>
      <c r="B94" s="179"/>
      <c r="C94" s="41" t="s">
        <v>16</v>
      </c>
      <c r="D94" s="36">
        <v>149.29</v>
      </c>
      <c r="E94" s="36">
        <v>149.29</v>
      </c>
      <c r="F94" s="36">
        <v>298.58</v>
      </c>
      <c r="G94" s="36">
        <v>447.87</v>
      </c>
    </row>
    <row r="95" spans="1:7" x14ac:dyDescent="0.25">
      <c r="A95" s="183"/>
      <c r="B95" s="179"/>
      <c r="C95" s="41" t="s">
        <v>17</v>
      </c>
      <c r="D95" s="36">
        <v>152.28</v>
      </c>
      <c r="E95" s="36">
        <v>152.28</v>
      </c>
      <c r="F95" s="36">
        <v>304.56</v>
      </c>
      <c r="G95" s="36">
        <v>456.84</v>
      </c>
    </row>
    <row r="96" spans="1:7" x14ac:dyDescent="0.25">
      <c r="A96" s="183"/>
      <c r="B96" s="179"/>
      <c r="C96" s="41" t="s">
        <v>18</v>
      </c>
      <c r="D96" s="36">
        <v>155.32</v>
      </c>
      <c r="E96" s="36">
        <v>155.32</v>
      </c>
      <c r="F96" s="36">
        <v>310.64</v>
      </c>
      <c r="G96" s="36">
        <v>465.96</v>
      </c>
    </row>
    <row r="97" spans="1:7" x14ac:dyDescent="0.25">
      <c r="A97" s="183"/>
      <c r="B97" s="179"/>
      <c r="C97" s="41" t="s">
        <v>19</v>
      </c>
      <c r="D97" s="36">
        <v>158.43</v>
      </c>
      <c r="E97" s="36">
        <v>158.43</v>
      </c>
      <c r="F97" s="36">
        <v>316.86</v>
      </c>
      <c r="G97" s="36">
        <v>475.29</v>
      </c>
    </row>
    <row r="98" spans="1:7" x14ac:dyDescent="0.25">
      <c r="A98" s="183"/>
      <c r="B98" s="179"/>
      <c r="C98" s="41" t="s">
        <v>20</v>
      </c>
      <c r="D98" s="36">
        <v>161.6</v>
      </c>
      <c r="E98" s="36">
        <v>161.6</v>
      </c>
      <c r="F98" s="36">
        <v>323.2</v>
      </c>
      <c r="G98" s="36">
        <v>484.8</v>
      </c>
    </row>
    <row r="99" spans="1:7" x14ac:dyDescent="0.25">
      <c r="A99" s="183"/>
      <c r="B99" s="179" t="s">
        <v>112</v>
      </c>
      <c r="C99" s="41" t="s">
        <v>15</v>
      </c>
      <c r="D99" s="36">
        <v>164.83</v>
      </c>
      <c r="E99" s="36">
        <v>164.83</v>
      </c>
      <c r="F99" s="36">
        <v>329.66</v>
      </c>
      <c r="G99" s="36">
        <v>494.49</v>
      </c>
    </row>
    <row r="100" spans="1:7" x14ac:dyDescent="0.25">
      <c r="A100" s="183"/>
      <c r="B100" s="179"/>
      <c r="C100" s="41" t="s">
        <v>16</v>
      </c>
      <c r="D100" s="36">
        <v>168.13</v>
      </c>
      <c r="E100" s="36">
        <v>168.13</v>
      </c>
      <c r="F100" s="36">
        <v>336.26</v>
      </c>
      <c r="G100" s="36">
        <v>504.39</v>
      </c>
    </row>
    <row r="101" spans="1:7" x14ac:dyDescent="0.25">
      <c r="A101" s="183"/>
      <c r="B101" s="179"/>
      <c r="C101" s="41" t="s">
        <v>17</v>
      </c>
      <c r="D101" s="36">
        <v>171.49</v>
      </c>
      <c r="E101" s="36">
        <v>171.49</v>
      </c>
      <c r="F101" s="36">
        <v>342.98</v>
      </c>
      <c r="G101" s="36">
        <v>514.47</v>
      </c>
    </row>
    <row r="102" spans="1:7" x14ac:dyDescent="0.25">
      <c r="A102" s="183"/>
      <c r="B102" s="179"/>
      <c r="C102" s="41" t="s">
        <v>18</v>
      </c>
      <c r="D102" s="36">
        <v>174.92</v>
      </c>
      <c r="E102" s="36">
        <v>174.92</v>
      </c>
      <c r="F102" s="36">
        <v>349.84</v>
      </c>
      <c r="G102" s="36">
        <v>524.76</v>
      </c>
    </row>
    <row r="103" spans="1:7" x14ac:dyDescent="0.25">
      <c r="A103" s="183"/>
      <c r="B103" s="179"/>
      <c r="C103" s="41" t="s">
        <v>19</v>
      </c>
      <c r="D103" s="36">
        <v>178.41</v>
      </c>
      <c r="E103" s="36">
        <v>178.41</v>
      </c>
      <c r="F103" s="36">
        <v>356.83</v>
      </c>
      <c r="G103" s="36">
        <v>535.25</v>
      </c>
    </row>
    <row r="104" spans="1:7" x14ac:dyDescent="0.25">
      <c r="A104" s="183"/>
      <c r="B104" s="179"/>
      <c r="C104" s="41" t="s">
        <v>20</v>
      </c>
      <c r="D104" s="36">
        <v>181.98</v>
      </c>
      <c r="E104" s="36">
        <v>181.98</v>
      </c>
      <c r="F104" s="36">
        <v>363.97</v>
      </c>
      <c r="G104" s="36">
        <v>545.96</v>
      </c>
    </row>
    <row r="107" spans="1:7" x14ac:dyDescent="0.25">
      <c r="A107" t="s">
        <v>122</v>
      </c>
    </row>
    <row r="108" spans="1:7" x14ac:dyDescent="0.25">
      <c r="A108" s="179" t="s">
        <v>123</v>
      </c>
      <c r="B108" s="179"/>
      <c r="C108" s="179"/>
      <c r="D108" s="179"/>
      <c r="E108" s="179"/>
      <c r="F108" s="179"/>
      <c r="G108" s="179"/>
    </row>
    <row r="109" spans="1:7" x14ac:dyDescent="0.25">
      <c r="A109" s="227" t="s">
        <v>115</v>
      </c>
      <c r="B109" s="223" t="s">
        <v>116</v>
      </c>
      <c r="C109" s="223" t="s">
        <v>117</v>
      </c>
      <c r="D109" s="231" t="s">
        <v>106</v>
      </c>
      <c r="E109" s="231"/>
      <c r="F109" s="231"/>
      <c r="G109" s="231"/>
    </row>
    <row r="110" spans="1:7" ht="38.25" x14ac:dyDescent="0.25">
      <c r="A110" s="227"/>
      <c r="B110" s="223"/>
      <c r="C110" s="223"/>
      <c r="D110" s="7" t="s">
        <v>118</v>
      </c>
      <c r="E110" s="7" t="s">
        <v>107</v>
      </c>
      <c r="F110" s="7" t="s">
        <v>108</v>
      </c>
      <c r="G110" s="7" t="s">
        <v>109</v>
      </c>
    </row>
    <row r="111" spans="1:7" x14ac:dyDescent="0.25">
      <c r="A111" s="183" t="s">
        <v>124</v>
      </c>
      <c r="B111" s="179" t="s">
        <v>14</v>
      </c>
      <c r="C111" s="8" t="s">
        <v>15</v>
      </c>
      <c r="D111" s="36">
        <v>110.08</v>
      </c>
      <c r="E111" s="36">
        <v>110.08</v>
      </c>
      <c r="F111" s="36">
        <v>220.16</v>
      </c>
      <c r="G111" s="36">
        <v>330.24</v>
      </c>
    </row>
    <row r="112" spans="1:7" x14ac:dyDescent="0.25">
      <c r="A112" s="183"/>
      <c r="B112" s="179"/>
      <c r="C112" s="8" t="s">
        <v>16</v>
      </c>
      <c r="D112" s="36">
        <v>112.28</v>
      </c>
      <c r="E112" s="36">
        <v>112.28</v>
      </c>
      <c r="F112" s="36">
        <v>224.56</v>
      </c>
      <c r="G112" s="36">
        <v>336.84</v>
      </c>
    </row>
    <row r="113" spans="1:7" x14ac:dyDescent="0.25">
      <c r="A113" s="183"/>
      <c r="B113" s="179"/>
      <c r="C113" s="8" t="s">
        <v>17</v>
      </c>
      <c r="D113" s="36">
        <v>114.53</v>
      </c>
      <c r="E113" s="36">
        <v>114.53</v>
      </c>
      <c r="F113" s="36">
        <v>229.06</v>
      </c>
      <c r="G113" s="36">
        <v>343.59</v>
      </c>
    </row>
    <row r="114" spans="1:7" x14ac:dyDescent="0.25">
      <c r="A114" s="183"/>
      <c r="B114" s="179"/>
      <c r="C114" s="8" t="s">
        <v>18</v>
      </c>
      <c r="D114" s="36">
        <v>116.82</v>
      </c>
      <c r="E114" s="36">
        <v>116.82</v>
      </c>
      <c r="F114" s="36">
        <v>233.64</v>
      </c>
      <c r="G114" s="36">
        <v>350.46</v>
      </c>
    </row>
    <row r="115" spans="1:7" x14ac:dyDescent="0.25">
      <c r="A115" s="183"/>
      <c r="B115" s="179"/>
      <c r="C115" s="8" t="s">
        <v>19</v>
      </c>
      <c r="D115" s="36">
        <v>119.15</v>
      </c>
      <c r="E115" s="36">
        <v>119.15</v>
      </c>
      <c r="F115" s="36">
        <v>238.3</v>
      </c>
      <c r="G115" s="36">
        <v>357.45</v>
      </c>
    </row>
    <row r="116" spans="1:7" x14ac:dyDescent="0.25">
      <c r="A116" s="183"/>
      <c r="B116" s="179"/>
      <c r="C116" s="8" t="s">
        <v>20</v>
      </c>
      <c r="D116" s="36">
        <v>121.54</v>
      </c>
      <c r="E116" s="36">
        <v>121.54</v>
      </c>
      <c r="F116" s="36">
        <v>243.08</v>
      </c>
      <c r="G116" s="36">
        <v>364.62</v>
      </c>
    </row>
    <row r="117" spans="1:7" x14ac:dyDescent="0.25">
      <c r="A117" s="183"/>
      <c r="B117" s="183" t="s">
        <v>21</v>
      </c>
      <c r="C117" s="8" t="s">
        <v>15</v>
      </c>
      <c r="D117" s="36">
        <v>123.97</v>
      </c>
      <c r="E117" s="36">
        <v>123.97</v>
      </c>
      <c r="F117" s="36">
        <v>247.94</v>
      </c>
      <c r="G117" s="36">
        <v>371.91</v>
      </c>
    </row>
    <row r="118" spans="1:7" x14ac:dyDescent="0.25">
      <c r="A118" s="183"/>
      <c r="B118" s="183"/>
      <c r="C118" s="8" t="s">
        <v>16</v>
      </c>
      <c r="D118" s="36">
        <v>126.45</v>
      </c>
      <c r="E118" s="36">
        <v>126.45</v>
      </c>
      <c r="F118" s="36">
        <v>252.9</v>
      </c>
      <c r="G118" s="36">
        <v>379.35</v>
      </c>
    </row>
    <row r="119" spans="1:7" x14ac:dyDescent="0.25">
      <c r="A119" s="183"/>
      <c r="B119" s="183"/>
      <c r="C119" s="8" t="s">
        <v>17</v>
      </c>
      <c r="D119" s="36">
        <v>128.97</v>
      </c>
      <c r="E119" s="36">
        <v>128.97</v>
      </c>
      <c r="F119" s="36">
        <v>257.94</v>
      </c>
      <c r="G119" s="36">
        <v>386.91</v>
      </c>
    </row>
    <row r="120" spans="1:7" x14ac:dyDescent="0.25">
      <c r="A120" s="183"/>
      <c r="B120" s="183"/>
      <c r="C120" s="8" t="s">
        <v>18</v>
      </c>
      <c r="D120" s="36">
        <v>131.56</v>
      </c>
      <c r="E120" s="36">
        <v>131.56</v>
      </c>
      <c r="F120" s="36">
        <v>263.12</v>
      </c>
      <c r="G120" s="36">
        <v>394.68</v>
      </c>
    </row>
    <row r="121" spans="1:7" x14ac:dyDescent="0.25">
      <c r="A121" s="183"/>
      <c r="B121" s="183"/>
      <c r="C121" s="8" t="s">
        <v>19</v>
      </c>
      <c r="D121" s="36">
        <v>134.19</v>
      </c>
      <c r="E121" s="36">
        <v>134.19</v>
      </c>
      <c r="F121" s="36">
        <v>268.38</v>
      </c>
      <c r="G121" s="36">
        <v>402.57</v>
      </c>
    </row>
    <row r="122" spans="1:7" x14ac:dyDescent="0.25">
      <c r="A122" s="183"/>
      <c r="B122" s="183"/>
      <c r="C122" s="8" t="s">
        <v>20</v>
      </c>
      <c r="D122" s="36">
        <v>136.87</v>
      </c>
      <c r="E122" s="36">
        <v>136.87</v>
      </c>
      <c r="F122" s="36">
        <v>273.74</v>
      </c>
      <c r="G122" s="36">
        <v>410.61</v>
      </c>
    </row>
    <row r="123" spans="1:7" x14ac:dyDescent="0.25">
      <c r="A123" s="183"/>
      <c r="B123" s="179" t="s">
        <v>112</v>
      </c>
      <c r="C123" s="8" t="s">
        <v>15</v>
      </c>
      <c r="D123" s="36">
        <v>139.61000000000001</v>
      </c>
      <c r="E123" s="36">
        <v>139.61000000000001</v>
      </c>
      <c r="F123" s="36">
        <v>279.22000000000003</v>
      </c>
      <c r="G123" s="36">
        <v>418.83</v>
      </c>
    </row>
    <row r="124" spans="1:7" x14ac:dyDescent="0.25">
      <c r="A124" s="183"/>
      <c r="B124" s="179"/>
      <c r="C124" s="8" t="s">
        <v>16</v>
      </c>
      <c r="D124" s="36">
        <v>142.4</v>
      </c>
      <c r="E124" s="36">
        <v>142.4</v>
      </c>
      <c r="F124" s="36">
        <v>284.8</v>
      </c>
      <c r="G124" s="36">
        <v>427.2</v>
      </c>
    </row>
    <row r="125" spans="1:7" x14ac:dyDescent="0.25">
      <c r="A125" s="183"/>
      <c r="B125" s="179"/>
      <c r="C125" s="8" t="s">
        <v>17</v>
      </c>
      <c r="D125" s="36">
        <v>145.25</v>
      </c>
      <c r="E125" s="36">
        <v>145.25</v>
      </c>
      <c r="F125" s="52">
        <v>290.5</v>
      </c>
      <c r="G125" s="36">
        <v>435.75</v>
      </c>
    </row>
    <row r="126" spans="1:7" x14ac:dyDescent="0.25">
      <c r="A126" s="183"/>
      <c r="B126" s="179"/>
      <c r="C126" s="8" t="s">
        <v>18</v>
      </c>
      <c r="D126" s="36">
        <v>148.15</v>
      </c>
      <c r="E126" s="36">
        <v>148.15</v>
      </c>
      <c r="F126" s="52">
        <v>296.3</v>
      </c>
      <c r="G126" s="36">
        <v>444.45</v>
      </c>
    </row>
    <row r="127" spans="1:7" x14ac:dyDescent="0.25">
      <c r="A127" s="183"/>
      <c r="B127" s="179"/>
      <c r="C127" s="8" t="s">
        <v>19</v>
      </c>
      <c r="D127" s="36">
        <v>151.11000000000001</v>
      </c>
      <c r="E127" s="36">
        <v>151.11000000000001</v>
      </c>
      <c r="F127" s="36">
        <v>302.22000000000003</v>
      </c>
      <c r="G127" s="36">
        <v>453.33</v>
      </c>
    </row>
    <row r="128" spans="1:7" x14ac:dyDescent="0.25">
      <c r="A128" s="183"/>
      <c r="B128" s="179"/>
      <c r="C128" s="8" t="s">
        <v>20</v>
      </c>
      <c r="D128" s="36">
        <v>154.13</v>
      </c>
      <c r="E128" s="36">
        <v>154.13</v>
      </c>
      <c r="F128" s="36">
        <v>308.27</v>
      </c>
      <c r="G128" s="36">
        <v>462.4</v>
      </c>
    </row>
  </sheetData>
  <mergeCells count="43">
    <mergeCell ref="A111:A128"/>
    <mergeCell ref="B111:B116"/>
    <mergeCell ref="B117:B122"/>
    <mergeCell ref="B123:B128"/>
    <mergeCell ref="A87:A104"/>
    <mergeCell ref="B87:B92"/>
    <mergeCell ref="B93:B98"/>
    <mergeCell ref="B99:B104"/>
    <mergeCell ref="A108:G108"/>
    <mergeCell ref="A109:A110"/>
    <mergeCell ref="B109:B110"/>
    <mergeCell ref="C109:C110"/>
    <mergeCell ref="D109:G109"/>
    <mergeCell ref="D85:G85"/>
    <mergeCell ref="A64:A65"/>
    <mergeCell ref="B64:B65"/>
    <mergeCell ref="C64:C65"/>
    <mergeCell ref="D64:G64"/>
    <mergeCell ref="A66:A81"/>
    <mergeCell ref="B66:B71"/>
    <mergeCell ref="B72:B77"/>
    <mergeCell ref="B78:B81"/>
    <mergeCell ref="A82:A83"/>
    <mergeCell ref="B82:B83"/>
    <mergeCell ref="A85:A86"/>
    <mergeCell ref="B85:B86"/>
    <mergeCell ref="C85:C86"/>
    <mergeCell ref="A46:A63"/>
    <mergeCell ref="B46:B51"/>
    <mergeCell ref="B52:B57"/>
    <mergeCell ref="B58:B63"/>
    <mergeCell ref="D19:F19"/>
    <mergeCell ref="A21:A26"/>
    <mergeCell ref="B21:B26"/>
    <mergeCell ref="A27:A32"/>
    <mergeCell ref="B27:B32"/>
    <mergeCell ref="A33:A38"/>
    <mergeCell ref="B33:B38"/>
    <mergeCell ref="A43:G43"/>
    <mergeCell ref="A44:A45"/>
    <mergeCell ref="B44:B45"/>
    <mergeCell ref="C44:C45"/>
    <mergeCell ref="D44:G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zoomScaleNormal="100" workbookViewId="0">
      <selection activeCell="C32" sqref="C32"/>
    </sheetView>
  </sheetViews>
  <sheetFormatPr defaultRowHeight="15" x14ac:dyDescent="0.25"/>
  <cols>
    <col min="2" max="2" width="41.42578125" bestFit="1" customWidth="1"/>
    <col min="3" max="3" width="53.28515625" bestFit="1" customWidth="1"/>
    <col min="4" max="4" width="18.7109375" style="120" customWidth="1"/>
    <col min="5" max="6" width="19.85546875" bestFit="1" customWidth="1"/>
  </cols>
  <sheetData>
    <row r="2" spans="2:3" x14ac:dyDescent="0.25">
      <c r="B2" t="s">
        <v>608</v>
      </c>
    </row>
    <row r="4" spans="2:3" x14ac:dyDescent="0.25">
      <c r="B4" s="204" t="s">
        <v>618</v>
      </c>
      <c r="C4" s="204"/>
    </row>
    <row r="5" spans="2:3" x14ac:dyDescent="0.25">
      <c r="B5" s="234">
        <v>2450</v>
      </c>
      <c r="C5" s="235"/>
    </row>
    <row r="7" spans="2:3" x14ac:dyDescent="0.25">
      <c r="B7" s="204" t="s">
        <v>617</v>
      </c>
      <c r="C7" s="204"/>
    </row>
    <row r="8" spans="2:3" x14ac:dyDescent="0.25">
      <c r="B8" s="236" t="s">
        <v>610</v>
      </c>
      <c r="C8" s="236"/>
    </row>
    <row r="9" spans="2:3" x14ac:dyDescent="0.25">
      <c r="B9" s="99" t="s">
        <v>611</v>
      </c>
      <c r="C9" s="99" t="s">
        <v>126</v>
      </c>
    </row>
    <row r="10" spans="2:3" x14ac:dyDescent="0.25">
      <c r="B10" s="2" t="s">
        <v>612</v>
      </c>
      <c r="C10" s="16">
        <v>1303.6400000000001</v>
      </c>
    </row>
    <row r="11" spans="2:3" x14ac:dyDescent="0.25">
      <c r="B11" s="2" t="s">
        <v>613</v>
      </c>
      <c r="C11" s="16">
        <v>1500</v>
      </c>
    </row>
    <row r="12" spans="2:3" x14ac:dyDescent="0.25">
      <c r="B12" s="2" t="s">
        <v>614</v>
      </c>
      <c r="C12" s="16">
        <v>1700</v>
      </c>
    </row>
    <row r="13" spans="2:3" x14ac:dyDescent="0.25">
      <c r="B13" s="2" t="s">
        <v>615</v>
      </c>
      <c r="C13" s="16">
        <v>500</v>
      </c>
    </row>
    <row r="14" spans="2:3" x14ac:dyDescent="0.25">
      <c r="B14" s="2" t="s">
        <v>616</v>
      </c>
      <c r="C14" s="16">
        <v>2800</v>
      </c>
    </row>
    <row r="15" spans="2:3" x14ac:dyDescent="0.25">
      <c r="C15" s="24"/>
    </row>
    <row r="16" spans="2:3" x14ac:dyDescent="0.25">
      <c r="B16" s="204" t="s">
        <v>62</v>
      </c>
      <c r="C16" s="204"/>
    </row>
    <row r="17" spans="2:3" x14ac:dyDescent="0.25">
      <c r="B17" s="99" t="s">
        <v>609</v>
      </c>
      <c r="C17" s="113">
        <v>27.5</v>
      </c>
    </row>
    <row r="19" spans="2:3" x14ac:dyDescent="0.25">
      <c r="B19" s="204" t="s">
        <v>619</v>
      </c>
      <c r="C19" s="204"/>
    </row>
    <row r="20" spans="2:3" x14ac:dyDescent="0.25">
      <c r="B20" s="2" t="s">
        <v>620</v>
      </c>
      <c r="C20" s="111">
        <v>500</v>
      </c>
    </row>
    <row r="21" spans="2:3" x14ac:dyDescent="0.25">
      <c r="B21" s="2" t="s">
        <v>621</v>
      </c>
      <c r="C21" s="2"/>
    </row>
    <row r="22" spans="2:3" ht="30" x14ac:dyDescent="0.25">
      <c r="B22" s="6" t="s">
        <v>622</v>
      </c>
      <c r="C22" s="112">
        <v>250</v>
      </c>
    </row>
    <row r="23" spans="2:3" ht="30" x14ac:dyDescent="0.25">
      <c r="B23" s="6" t="s">
        <v>623</v>
      </c>
      <c r="C23" s="16">
        <v>2250</v>
      </c>
    </row>
    <row r="25" spans="2:3" x14ac:dyDescent="0.25">
      <c r="B25" s="204" t="s">
        <v>624</v>
      </c>
      <c r="C25" s="204"/>
    </row>
    <row r="26" spans="2:3" ht="39.75" customHeight="1" x14ac:dyDescent="0.25">
      <c r="B26" s="224" t="s">
        <v>625</v>
      </c>
      <c r="C26" s="204"/>
    </row>
    <row r="27" spans="2:3" ht="24" customHeight="1" x14ac:dyDescent="0.25">
      <c r="B27" s="204" t="s">
        <v>626</v>
      </c>
      <c r="C27" s="204"/>
    </row>
    <row r="33" spans="2:6" ht="39" customHeight="1" x14ac:dyDescent="0.25"/>
    <row r="40" spans="2:6" x14ac:dyDescent="0.25">
      <c r="B40" s="218" t="s">
        <v>643</v>
      </c>
      <c r="C40" s="219"/>
      <c r="D40" s="121" t="s">
        <v>644</v>
      </c>
      <c r="E40" s="117" t="s">
        <v>641</v>
      </c>
      <c r="F40" s="117" t="s">
        <v>642</v>
      </c>
    </row>
    <row r="41" spans="2:6" x14ac:dyDescent="0.25">
      <c r="B41" s="220" t="s">
        <v>646</v>
      </c>
      <c r="C41" s="221"/>
      <c r="D41" s="122">
        <v>37589.96</v>
      </c>
      <c r="E41" s="118">
        <v>39717.69</v>
      </c>
      <c r="F41" s="118">
        <v>41845.49</v>
      </c>
    </row>
    <row r="42" spans="2:6" x14ac:dyDescent="0.25">
      <c r="B42" s="220" t="s">
        <v>645</v>
      </c>
      <c r="C42" s="221"/>
      <c r="D42" s="122">
        <v>35710.46</v>
      </c>
      <c r="E42" s="118">
        <v>37731.800000000003</v>
      </c>
      <c r="F42" s="118">
        <v>39753.21</v>
      </c>
    </row>
    <row r="43" spans="2:6" x14ac:dyDescent="0.25">
      <c r="B43" t="s">
        <v>670</v>
      </c>
    </row>
    <row r="45" spans="2:6" x14ac:dyDescent="0.25">
      <c r="B45" s="242" t="s">
        <v>672</v>
      </c>
      <c r="C45" s="119" t="s">
        <v>673</v>
      </c>
      <c r="D45" s="123" t="s">
        <v>674</v>
      </c>
    </row>
    <row r="46" spans="2:6" ht="22.5" customHeight="1" x14ac:dyDescent="0.25">
      <c r="B46" s="242"/>
      <c r="C46" s="119" t="s">
        <v>675</v>
      </c>
      <c r="D46" s="123" t="s">
        <v>676</v>
      </c>
    </row>
    <row r="47" spans="2:6" x14ac:dyDescent="0.25">
      <c r="B47" s="240" t="s">
        <v>671</v>
      </c>
      <c r="C47" s="240"/>
      <c r="D47" s="240"/>
    </row>
    <row r="49" spans="2:4" x14ac:dyDescent="0.25">
      <c r="B49" s="239" t="s">
        <v>677</v>
      </c>
      <c r="C49" s="119" t="s">
        <v>678</v>
      </c>
      <c r="D49" s="123" t="s">
        <v>674</v>
      </c>
    </row>
    <row r="50" spans="2:4" ht="45" x14ac:dyDescent="0.25">
      <c r="B50" s="239"/>
      <c r="C50" s="124" t="s">
        <v>679</v>
      </c>
      <c r="D50" s="123" t="s">
        <v>676</v>
      </c>
    </row>
    <row r="51" spans="2:4" ht="36.75" customHeight="1" x14ac:dyDescent="0.25">
      <c r="B51" s="241" t="s">
        <v>680</v>
      </c>
      <c r="C51" s="240"/>
      <c r="D51" s="240"/>
    </row>
    <row r="53" spans="2:4" x14ac:dyDescent="0.25">
      <c r="B53" s="204" t="s">
        <v>627</v>
      </c>
      <c r="C53" s="204"/>
    </row>
    <row r="54" spans="2:4" ht="36" customHeight="1" x14ac:dyDescent="0.25">
      <c r="B54" s="237" t="s">
        <v>640</v>
      </c>
      <c r="C54" s="238"/>
    </row>
    <row r="55" spans="2:4" x14ac:dyDescent="0.25">
      <c r="B55" t="s">
        <v>628</v>
      </c>
    </row>
  </sheetData>
  <mergeCells count="18">
    <mergeCell ref="B54:C54"/>
    <mergeCell ref="B25:C25"/>
    <mergeCell ref="B26:C26"/>
    <mergeCell ref="B27:C27"/>
    <mergeCell ref="B19:C19"/>
    <mergeCell ref="B49:B50"/>
    <mergeCell ref="B47:D47"/>
    <mergeCell ref="B51:D51"/>
    <mergeCell ref="B40:C40"/>
    <mergeCell ref="B41:C41"/>
    <mergeCell ref="B42:C42"/>
    <mergeCell ref="B45:B46"/>
    <mergeCell ref="B53:C53"/>
    <mergeCell ref="B4:C4"/>
    <mergeCell ref="B5:C5"/>
    <mergeCell ref="B7:C7"/>
    <mergeCell ref="B16:C16"/>
    <mergeCell ref="B8:C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2"/>
  <sheetViews>
    <sheetView topLeftCell="A49" zoomScale="85" zoomScaleNormal="85" workbookViewId="0">
      <selection activeCell="J145" sqref="J145"/>
    </sheetView>
  </sheetViews>
  <sheetFormatPr defaultRowHeight="15" x14ac:dyDescent="0.25"/>
  <cols>
    <col min="3" max="9" width="13.85546875" customWidth="1"/>
    <col min="10" max="10" width="17.140625" customWidth="1"/>
    <col min="11" max="11" width="11.5703125" customWidth="1"/>
    <col min="15" max="15" width="9.5703125" bestFit="1" customWidth="1"/>
    <col min="19" max="19" width="10.42578125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5" spans="2:9" x14ac:dyDescent="0.25">
      <c r="B5" s="204" t="s">
        <v>3</v>
      </c>
      <c r="C5" s="204"/>
      <c r="D5" s="204"/>
      <c r="E5" s="204"/>
      <c r="F5" s="204"/>
      <c r="G5" s="204"/>
      <c r="H5" s="204"/>
      <c r="I5" s="204"/>
    </row>
    <row r="6" spans="2:9" x14ac:dyDescent="0.25">
      <c r="B6" s="183" t="s">
        <v>4</v>
      </c>
      <c r="C6" s="183"/>
      <c r="D6" s="204" t="s">
        <v>5</v>
      </c>
      <c r="E6" s="204"/>
      <c r="F6" s="204"/>
      <c r="G6" s="183" t="s">
        <v>6</v>
      </c>
      <c r="H6" s="183"/>
      <c r="I6" s="2" t="s">
        <v>7</v>
      </c>
    </row>
    <row r="7" spans="2:9" ht="45" x14ac:dyDescent="0.25">
      <c r="B7" s="183"/>
      <c r="C7" s="183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57" t="s">
        <v>11</v>
      </c>
      <c r="C8" s="57" t="s">
        <v>12</v>
      </c>
      <c r="D8" s="57" t="s">
        <v>13</v>
      </c>
      <c r="E8" s="57" t="s">
        <v>13</v>
      </c>
      <c r="F8" s="57" t="s">
        <v>13</v>
      </c>
      <c r="G8" s="57" t="s">
        <v>13</v>
      </c>
      <c r="H8" s="57" t="s">
        <v>13</v>
      </c>
      <c r="I8" s="57" t="s">
        <v>13</v>
      </c>
    </row>
    <row r="9" spans="2:9" x14ac:dyDescent="0.25">
      <c r="B9" s="181" t="s">
        <v>14</v>
      </c>
      <c r="C9" s="59" t="s">
        <v>15</v>
      </c>
      <c r="D9" s="3">
        <v>7739.16</v>
      </c>
      <c r="E9" s="3">
        <v>3939.08</v>
      </c>
      <c r="F9" s="3">
        <v>2508.58</v>
      </c>
      <c r="G9" s="3"/>
      <c r="H9" s="3"/>
      <c r="I9" s="3"/>
    </row>
    <row r="10" spans="2:9" x14ac:dyDescent="0.25">
      <c r="B10" s="181"/>
      <c r="C10" s="59" t="s">
        <v>16</v>
      </c>
      <c r="D10" s="3">
        <v>7971.33</v>
      </c>
      <c r="E10" s="3">
        <v>4057.25</v>
      </c>
      <c r="F10" s="3">
        <v>2583.84</v>
      </c>
      <c r="G10" s="3"/>
      <c r="H10" s="3"/>
      <c r="I10" s="3"/>
    </row>
    <row r="11" spans="2:9" x14ac:dyDescent="0.25">
      <c r="B11" s="181"/>
      <c r="C11" s="59" t="s">
        <v>17</v>
      </c>
      <c r="D11" s="3">
        <v>8210.4699999999993</v>
      </c>
      <c r="E11" s="3">
        <v>4178.96</v>
      </c>
      <c r="F11" s="3">
        <v>2661.35</v>
      </c>
      <c r="G11" s="3"/>
      <c r="H11" s="3"/>
      <c r="I11" s="3"/>
    </row>
    <row r="12" spans="2:9" x14ac:dyDescent="0.25">
      <c r="B12" s="181"/>
      <c r="C12" s="59" t="s">
        <v>18</v>
      </c>
      <c r="D12" s="3">
        <v>8456.7800000000007</v>
      </c>
      <c r="E12" s="3">
        <v>4304.34</v>
      </c>
      <c r="F12" s="3">
        <v>2741.19</v>
      </c>
      <c r="G12" s="3">
        <v>9725.2900000000009</v>
      </c>
      <c r="H12" s="3">
        <v>4949.99</v>
      </c>
      <c r="I12" s="3"/>
    </row>
    <row r="13" spans="2:9" x14ac:dyDescent="0.25">
      <c r="B13" s="181"/>
      <c r="C13" s="59" t="s">
        <v>19</v>
      </c>
      <c r="D13" s="3">
        <v>8710.49</v>
      </c>
      <c r="E13" s="3">
        <v>4433.47</v>
      </c>
      <c r="F13" s="3">
        <v>2823.43</v>
      </c>
      <c r="G13" s="3">
        <v>10017.06</v>
      </c>
      <c r="H13" s="3">
        <v>5098.49</v>
      </c>
      <c r="I13" s="3"/>
    </row>
    <row r="14" spans="2:9" x14ac:dyDescent="0.25">
      <c r="B14" s="181"/>
      <c r="C14" s="59" t="s">
        <v>20</v>
      </c>
      <c r="D14" s="3">
        <v>8971.7999999999993</v>
      </c>
      <c r="E14" s="3">
        <v>4566.47</v>
      </c>
      <c r="F14" s="3">
        <v>2908.13</v>
      </c>
      <c r="G14" s="3">
        <v>10317.57</v>
      </c>
      <c r="H14" s="3">
        <v>5251.45</v>
      </c>
      <c r="I14" s="2"/>
    </row>
    <row r="15" spans="2:9" x14ac:dyDescent="0.25">
      <c r="B15" s="179" t="s">
        <v>21</v>
      </c>
      <c r="C15" s="59" t="s">
        <v>15</v>
      </c>
      <c r="D15" s="3">
        <v>9420.39</v>
      </c>
      <c r="E15" s="3">
        <v>4794.79</v>
      </c>
      <c r="F15" s="3">
        <v>3053.53</v>
      </c>
      <c r="G15" s="3">
        <v>10833.45</v>
      </c>
      <c r="H15" s="3">
        <v>5514.02</v>
      </c>
      <c r="I15" s="2"/>
    </row>
    <row r="16" spans="2:9" x14ac:dyDescent="0.25">
      <c r="B16" s="179"/>
      <c r="C16" s="59" t="s">
        <v>16</v>
      </c>
      <c r="D16" s="3">
        <v>9703.01</v>
      </c>
      <c r="E16" s="3">
        <v>4938.63</v>
      </c>
      <c r="F16" s="3">
        <v>3145.14</v>
      </c>
      <c r="G16" s="3">
        <v>11158.46</v>
      </c>
      <c r="H16" s="3">
        <v>5679.44</v>
      </c>
      <c r="I16" s="2"/>
    </row>
    <row r="17" spans="2:9" x14ac:dyDescent="0.25">
      <c r="B17" s="179"/>
      <c r="C17" s="59" t="s">
        <v>17</v>
      </c>
      <c r="D17" s="3">
        <v>9994.1</v>
      </c>
      <c r="E17" s="3">
        <v>5086.8</v>
      </c>
      <c r="F17" s="3">
        <v>3239.48</v>
      </c>
      <c r="G17" s="3">
        <v>11493.21</v>
      </c>
      <c r="H17" s="3">
        <v>5849.83</v>
      </c>
      <c r="I17" s="2"/>
    </row>
    <row r="18" spans="2:9" x14ac:dyDescent="0.25">
      <c r="B18" s="179"/>
      <c r="C18" s="59" t="s">
        <v>18</v>
      </c>
      <c r="D18" s="3">
        <v>10293.92</v>
      </c>
      <c r="E18" s="3">
        <v>5239.3999999999996</v>
      </c>
      <c r="F18" s="3">
        <v>3336.67</v>
      </c>
      <c r="G18" s="3">
        <v>11838.01</v>
      </c>
      <c r="H18" s="3">
        <v>6025.32</v>
      </c>
      <c r="I18" s="3">
        <v>13613.71</v>
      </c>
    </row>
    <row r="19" spans="2:9" x14ac:dyDescent="0.25">
      <c r="B19" s="179"/>
      <c r="C19" s="59" t="s">
        <v>19</v>
      </c>
      <c r="D19" s="3">
        <v>10602.74</v>
      </c>
      <c r="E19" s="3">
        <v>5396.58</v>
      </c>
      <c r="F19" s="3">
        <v>3436.77</v>
      </c>
      <c r="G19" s="3">
        <v>12193.16</v>
      </c>
      <c r="H19" s="3">
        <v>6206.08</v>
      </c>
      <c r="I19" s="3">
        <v>14022.12</v>
      </c>
    </row>
    <row r="20" spans="2:9" x14ac:dyDescent="0.25">
      <c r="B20" s="179"/>
      <c r="C20" s="59" t="s">
        <v>20</v>
      </c>
      <c r="D20" s="3">
        <v>10920.82</v>
      </c>
      <c r="E20" s="3">
        <v>5558.48</v>
      </c>
      <c r="F20" s="3">
        <v>3539.87</v>
      </c>
      <c r="G20" s="3">
        <v>12558.95</v>
      </c>
      <c r="H20" s="3">
        <v>6392.26</v>
      </c>
      <c r="I20" s="3">
        <v>14442.79</v>
      </c>
    </row>
    <row r="21" spans="2:9" x14ac:dyDescent="0.25">
      <c r="B21" s="179" t="s">
        <v>22</v>
      </c>
      <c r="C21" s="59" t="s">
        <v>15</v>
      </c>
      <c r="D21" s="3">
        <v>11466.87</v>
      </c>
      <c r="E21" s="3">
        <v>5836.4</v>
      </c>
      <c r="F21" s="3">
        <v>3716.87</v>
      </c>
      <c r="G21" s="3">
        <v>13186.9</v>
      </c>
      <c r="H21" s="3">
        <v>6711.87</v>
      </c>
      <c r="I21" s="3">
        <v>15164.93</v>
      </c>
    </row>
    <row r="22" spans="2:9" x14ac:dyDescent="0.25">
      <c r="B22" s="179"/>
      <c r="C22" s="59" t="s">
        <v>16</v>
      </c>
      <c r="D22" s="3">
        <v>11810.87</v>
      </c>
      <c r="E22" s="3">
        <v>6011.5</v>
      </c>
      <c r="F22" s="3">
        <v>3828.37</v>
      </c>
      <c r="G22" s="3">
        <v>13582.51</v>
      </c>
      <c r="H22" s="3">
        <v>6913.24</v>
      </c>
      <c r="I22" s="3">
        <v>15619.87</v>
      </c>
    </row>
    <row r="23" spans="2:9" x14ac:dyDescent="0.25">
      <c r="B23" s="179"/>
      <c r="C23" s="59" t="s">
        <v>17</v>
      </c>
      <c r="D23" s="3">
        <v>12165.2</v>
      </c>
      <c r="E23" s="3">
        <v>6191.84</v>
      </c>
      <c r="F23" s="3">
        <v>3943.22</v>
      </c>
      <c r="G23" s="3">
        <v>13989.99</v>
      </c>
      <c r="H23" s="3">
        <v>7120.63</v>
      </c>
      <c r="I23" s="3">
        <v>16088.48</v>
      </c>
    </row>
    <row r="24" spans="2:9" x14ac:dyDescent="0.25">
      <c r="B24" s="179"/>
      <c r="C24" s="59" t="s">
        <v>18</v>
      </c>
      <c r="D24" s="3">
        <v>12530.16</v>
      </c>
      <c r="E24" s="3">
        <v>6377.6</v>
      </c>
      <c r="F24" s="3">
        <v>4061.52</v>
      </c>
      <c r="G24" s="3">
        <v>14409.68</v>
      </c>
      <c r="H24" s="3">
        <v>7334.26</v>
      </c>
      <c r="I24" s="3">
        <v>16571.13</v>
      </c>
    </row>
    <row r="25" spans="2:9" x14ac:dyDescent="0.25">
      <c r="B25" s="179"/>
      <c r="C25" s="59" t="s">
        <v>19</v>
      </c>
      <c r="D25" s="3">
        <v>12906.06</v>
      </c>
      <c r="E25" s="3">
        <v>6568.92</v>
      </c>
      <c r="F25" s="3">
        <v>4183.37</v>
      </c>
      <c r="G25" s="3">
        <v>14841.96</v>
      </c>
      <c r="H25" s="3">
        <v>7554.29</v>
      </c>
      <c r="I25" s="3">
        <v>17068.259999999998</v>
      </c>
    </row>
    <row r="26" spans="2:9" x14ac:dyDescent="0.25">
      <c r="B26" s="179"/>
      <c r="C26" s="59" t="s">
        <v>20</v>
      </c>
      <c r="D26" s="3">
        <v>13293.24</v>
      </c>
      <c r="E26" s="3">
        <v>6765.99</v>
      </c>
      <c r="F26" s="3">
        <v>4308.88</v>
      </c>
      <c r="G26" s="3">
        <v>15287.22</v>
      </c>
      <c r="H26" s="3">
        <v>7780.92</v>
      </c>
      <c r="I26" s="3">
        <v>17580.3</v>
      </c>
    </row>
    <row r="28" spans="2:9" x14ac:dyDescent="0.25">
      <c r="B28" t="s">
        <v>23</v>
      </c>
    </row>
    <row r="30" spans="2:9" x14ac:dyDescent="0.25">
      <c r="B30" s="204" t="s">
        <v>3</v>
      </c>
      <c r="C30" s="204"/>
      <c r="D30" s="204"/>
      <c r="E30" s="204"/>
      <c r="F30" s="204"/>
      <c r="G30" s="204"/>
      <c r="H30" s="204"/>
      <c r="I30" s="204"/>
    </row>
    <row r="31" spans="2:9" x14ac:dyDescent="0.25">
      <c r="B31" s="183" t="s">
        <v>4</v>
      </c>
      <c r="C31" s="183"/>
      <c r="D31" s="2" t="s">
        <v>5</v>
      </c>
      <c r="E31" s="2"/>
      <c r="F31" s="183" t="s">
        <v>6</v>
      </c>
      <c r="G31" s="183"/>
      <c r="H31" s="204" t="s">
        <v>7</v>
      </c>
      <c r="I31" s="204"/>
    </row>
    <row r="32" spans="2:9" ht="60" x14ac:dyDescent="0.25">
      <c r="B32" s="183"/>
      <c r="C32" s="183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30" x14ac:dyDescent="0.25">
      <c r="B33" s="57" t="s">
        <v>11</v>
      </c>
      <c r="C33" s="57" t="s">
        <v>12</v>
      </c>
      <c r="D33" s="57" t="s">
        <v>13</v>
      </c>
      <c r="E33" s="57" t="s">
        <v>13</v>
      </c>
      <c r="F33" s="57" t="s">
        <v>13</v>
      </c>
      <c r="G33" s="57" t="s">
        <v>13</v>
      </c>
      <c r="H33" s="57" t="s">
        <v>13</v>
      </c>
      <c r="I33" s="57" t="s">
        <v>13</v>
      </c>
    </row>
    <row r="34" spans="2:9" x14ac:dyDescent="0.25">
      <c r="B34" s="181" t="s">
        <v>14</v>
      </c>
      <c r="C34" s="59" t="s">
        <v>15</v>
      </c>
      <c r="D34" s="3">
        <v>7739.16</v>
      </c>
      <c r="E34" s="3">
        <v>7739.16</v>
      </c>
      <c r="F34" s="3"/>
      <c r="G34" s="3"/>
      <c r="H34" s="3"/>
      <c r="I34" s="2"/>
    </row>
    <row r="35" spans="2:9" x14ac:dyDescent="0.25">
      <c r="B35" s="181"/>
      <c r="C35" s="59" t="s">
        <v>16</v>
      </c>
      <c r="D35" s="3">
        <v>7971.33</v>
      </c>
      <c r="E35" s="3">
        <v>7971.33</v>
      </c>
      <c r="F35" s="3"/>
      <c r="G35" s="3"/>
      <c r="H35" s="3"/>
      <c r="I35" s="2"/>
    </row>
    <row r="36" spans="2:9" x14ac:dyDescent="0.25">
      <c r="B36" s="181"/>
      <c r="C36" s="59" t="s">
        <v>17</v>
      </c>
      <c r="D36" s="3">
        <v>8210.4699999999993</v>
      </c>
      <c r="E36" s="3">
        <v>8210.4699999999993</v>
      </c>
      <c r="F36" s="3"/>
      <c r="G36" s="3"/>
      <c r="H36" s="3"/>
      <c r="I36" s="2"/>
    </row>
    <row r="37" spans="2:9" x14ac:dyDescent="0.25">
      <c r="B37" s="181"/>
      <c r="C37" s="59" t="s">
        <v>18</v>
      </c>
      <c r="D37" s="3">
        <v>8456.7800000000007</v>
      </c>
      <c r="E37" s="3">
        <v>8456.7800000000007</v>
      </c>
      <c r="F37" s="3">
        <v>9725.2900000000009</v>
      </c>
      <c r="G37" s="3">
        <v>9725.2900000000009</v>
      </c>
      <c r="H37" s="3"/>
      <c r="I37" s="2"/>
    </row>
    <row r="38" spans="2:9" x14ac:dyDescent="0.25">
      <c r="B38" s="181"/>
      <c r="C38" s="59" t="s">
        <v>19</v>
      </c>
      <c r="D38" s="3">
        <v>8710.49</v>
      </c>
      <c r="E38" s="3">
        <v>8710.49</v>
      </c>
      <c r="F38" s="3">
        <v>10017.06</v>
      </c>
      <c r="G38" s="3">
        <v>10017.06</v>
      </c>
      <c r="H38" s="3"/>
      <c r="I38" s="2"/>
    </row>
    <row r="39" spans="2:9" x14ac:dyDescent="0.25">
      <c r="B39" s="181"/>
      <c r="C39" s="59" t="s">
        <v>20</v>
      </c>
      <c r="D39" s="3">
        <v>8971.7999999999993</v>
      </c>
      <c r="E39" s="3">
        <v>8971.7999999999993</v>
      </c>
      <c r="F39" s="3">
        <v>10317.57</v>
      </c>
      <c r="G39" s="3">
        <v>10317.57</v>
      </c>
      <c r="H39" s="2"/>
      <c r="I39" s="2"/>
    </row>
    <row r="40" spans="2:9" x14ac:dyDescent="0.25">
      <c r="B40" s="179" t="s">
        <v>21</v>
      </c>
      <c r="C40" s="59" t="s">
        <v>15</v>
      </c>
      <c r="D40" s="3">
        <v>9420.39</v>
      </c>
      <c r="E40" s="3">
        <v>9420.39</v>
      </c>
      <c r="F40" s="3">
        <v>10833.45</v>
      </c>
      <c r="G40" s="3">
        <v>10833.45</v>
      </c>
      <c r="H40" s="2"/>
      <c r="I40" s="2"/>
    </row>
    <row r="41" spans="2:9" x14ac:dyDescent="0.25">
      <c r="B41" s="179"/>
      <c r="C41" s="59" t="s">
        <v>16</v>
      </c>
      <c r="D41" s="3">
        <v>9703.01</v>
      </c>
      <c r="E41" s="3">
        <v>9703.01</v>
      </c>
      <c r="F41" s="3">
        <v>11158.46</v>
      </c>
      <c r="G41" s="3">
        <v>11158.46</v>
      </c>
      <c r="H41" s="2"/>
      <c r="I41" s="2"/>
    </row>
    <row r="42" spans="2:9" x14ac:dyDescent="0.25">
      <c r="B42" s="179"/>
      <c r="C42" s="59" t="s">
        <v>17</v>
      </c>
      <c r="D42" s="3">
        <v>9994.1</v>
      </c>
      <c r="E42" s="3">
        <v>9994.1</v>
      </c>
      <c r="F42" s="3">
        <v>11493.21</v>
      </c>
      <c r="G42" s="3">
        <v>11493.21</v>
      </c>
      <c r="H42" s="2"/>
      <c r="I42" s="2"/>
    </row>
    <row r="43" spans="2:9" x14ac:dyDescent="0.25">
      <c r="B43" s="179"/>
      <c r="C43" s="59" t="s">
        <v>18</v>
      </c>
      <c r="D43" s="3">
        <v>10293.92</v>
      </c>
      <c r="E43" s="3">
        <v>10293.92</v>
      </c>
      <c r="F43" s="3">
        <v>11838.01</v>
      </c>
      <c r="G43" s="3">
        <v>11838.01</v>
      </c>
      <c r="H43" s="3">
        <v>13613.71</v>
      </c>
      <c r="I43" s="3">
        <v>13613.71</v>
      </c>
    </row>
    <row r="44" spans="2:9" x14ac:dyDescent="0.25">
      <c r="B44" s="179"/>
      <c r="C44" s="59" t="s">
        <v>19</v>
      </c>
      <c r="D44" s="3">
        <v>10602.74</v>
      </c>
      <c r="E44" s="3">
        <v>10602.74</v>
      </c>
      <c r="F44" s="3">
        <v>12193.16</v>
      </c>
      <c r="G44" s="3">
        <v>12193.16</v>
      </c>
      <c r="H44" s="3">
        <v>14022.12</v>
      </c>
      <c r="I44" s="3">
        <v>14022.12</v>
      </c>
    </row>
    <row r="45" spans="2:9" x14ac:dyDescent="0.25">
      <c r="B45" s="179"/>
      <c r="C45" s="59" t="s">
        <v>20</v>
      </c>
      <c r="D45" s="3">
        <v>10920.82</v>
      </c>
      <c r="E45" s="3">
        <v>10920.82</v>
      </c>
      <c r="F45" s="3">
        <v>12558.95</v>
      </c>
      <c r="G45" s="3">
        <v>12558.95</v>
      </c>
      <c r="H45" s="3">
        <v>14442.79</v>
      </c>
      <c r="I45" s="3">
        <v>14442.79</v>
      </c>
    </row>
    <row r="46" spans="2:9" x14ac:dyDescent="0.25">
      <c r="B46" s="179" t="s">
        <v>22</v>
      </c>
      <c r="C46" s="59" t="s">
        <v>15</v>
      </c>
      <c r="D46" s="3">
        <v>11466.87</v>
      </c>
      <c r="E46" s="3">
        <v>11466.87</v>
      </c>
      <c r="F46" s="3">
        <v>13186.9</v>
      </c>
      <c r="G46" s="3">
        <v>13186.9</v>
      </c>
      <c r="H46" s="3">
        <v>15164.93</v>
      </c>
      <c r="I46" s="3">
        <v>15164.93</v>
      </c>
    </row>
    <row r="47" spans="2:9" x14ac:dyDescent="0.25">
      <c r="B47" s="179"/>
      <c r="C47" s="59" t="s">
        <v>16</v>
      </c>
      <c r="D47" s="3">
        <v>11810.87</v>
      </c>
      <c r="E47" s="3">
        <v>11810.87</v>
      </c>
      <c r="F47" s="3">
        <v>13582.51</v>
      </c>
      <c r="G47" s="3">
        <v>13582.51</v>
      </c>
      <c r="H47" s="3">
        <v>15619.87</v>
      </c>
      <c r="I47" s="3">
        <v>15619.87</v>
      </c>
    </row>
    <row r="48" spans="2:9" x14ac:dyDescent="0.25">
      <c r="B48" s="179"/>
      <c r="C48" s="59" t="s">
        <v>17</v>
      </c>
      <c r="D48" s="3">
        <v>12165.2</v>
      </c>
      <c r="E48" s="3">
        <v>12165.2</v>
      </c>
      <c r="F48" s="3">
        <v>13989.99</v>
      </c>
      <c r="G48" s="3">
        <v>13989.99</v>
      </c>
      <c r="H48" s="3">
        <v>16088.48</v>
      </c>
      <c r="I48" s="3">
        <v>16088.48</v>
      </c>
    </row>
    <row r="49" spans="2:9" x14ac:dyDescent="0.25">
      <c r="B49" s="179"/>
      <c r="C49" s="59" t="s">
        <v>18</v>
      </c>
      <c r="D49" s="3">
        <v>12530.16</v>
      </c>
      <c r="E49" s="3">
        <v>12530.16</v>
      </c>
      <c r="F49" s="3">
        <v>14409.68</v>
      </c>
      <c r="G49" s="3">
        <v>14409.68</v>
      </c>
      <c r="H49" s="3">
        <v>16571.13</v>
      </c>
      <c r="I49" s="3">
        <v>16571.13</v>
      </c>
    </row>
    <row r="50" spans="2:9" x14ac:dyDescent="0.25">
      <c r="B50" s="179"/>
      <c r="C50" s="59" t="s">
        <v>19</v>
      </c>
      <c r="D50" s="3">
        <v>12906.06</v>
      </c>
      <c r="E50" s="3">
        <v>12906.06</v>
      </c>
      <c r="F50" s="3">
        <v>14841.96</v>
      </c>
      <c r="G50" s="3">
        <v>14841.96</v>
      </c>
      <c r="H50" s="3">
        <v>17068.259999999998</v>
      </c>
      <c r="I50" s="3">
        <v>17068.259999999998</v>
      </c>
    </row>
    <row r="51" spans="2:9" x14ac:dyDescent="0.25">
      <c r="B51" s="179"/>
      <c r="C51" s="59" t="s">
        <v>20</v>
      </c>
      <c r="D51" s="3">
        <v>13293.24</v>
      </c>
      <c r="E51" s="3">
        <v>13293.24</v>
      </c>
      <c r="F51" s="3">
        <v>15287.22</v>
      </c>
      <c r="G51" s="3">
        <v>15287.22</v>
      </c>
      <c r="H51" s="3">
        <v>17580.3</v>
      </c>
      <c r="I51" s="3">
        <v>17580.3</v>
      </c>
    </row>
    <row r="53" spans="2:9" x14ac:dyDescent="0.25">
      <c r="B53" t="s">
        <v>26</v>
      </c>
    </row>
    <row r="55" spans="2:9" x14ac:dyDescent="0.25">
      <c r="B55" s="204" t="s">
        <v>3</v>
      </c>
      <c r="C55" s="204"/>
      <c r="D55" s="204"/>
      <c r="E55" s="204"/>
      <c r="F55" s="204"/>
      <c r="G55" s="204"/>
    </row>
    <row r="56" spans="2:9" ht="45" customHeight="1" x14ac:dyDescent="0.25">
      <c r="B56" s="206" t="s">
        <v>4</v>
      </c>
      <c r="C56" s="207"/>
      <c r="D56" s="2" t="s">
        <v>5</v>
      </c>
      <c r="E56" s="2"/>
      <c r="F56" s="183" t="s">
        <v>6</v>
      </c>
      <c r="G56" s="183"/>
    </row>
    <row r="57" spans="2:9" ht="45" x14ac:dyDescent="0.25">
      <c r="B57" s="208"/>
      <c r="C57" s="209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30" x14ac:dyDescent="0.25">
      <c r="B58" s="57" t="s">
        <v>11</v>
      </c>
      <c r="C58" s="57" t="s">
        <v>12</v>
      </c>
      <c r="D58" s="57" t="s">
        <v>13</v>
      </c>
      <c r="E58" s="57" t="s">
        <v>13</v>
      </c>
      <c r="F58" s="57" t="s">
        <v>13</v>
      </c>
      <c r="G58" s="57" t="s">
        <v>13</v>
      </c>
    </row>
    <row r="59" spans="2:9" x14ac:dyDescent="0.25">
      <c r="B59" s="181" t="s">
        <v>14</v>
      </c>
      <c r="C59" s="60" t="s">
        <v>15</v>
      </c>
      <c r="D59" s="61">
        <v>4346.0600000000004</v>
      </c>
      <c r="E59" s="61">
        <v>3939.09</v>
      </c>
      <c r="F59" s="62"/>
      <c r="G59" s="2"/>
    </row>
    <row r="60" spans="2:9" x14ac:dyDescent="0.25">
      <c r="B60" s="181"/>
      <c r="C60" s="63" t="s">
        <v>16</v>
      </c>
      <c r="D60" s="64">
        <v>4476.4399999999996</v>
      </c>
      <c r="E60" s="64">
        <v>4057.26</v>
      </c>
      <c r="F60" s="62"/>
      <c r="G60" s="2"/>
    </row>
    <row r="61" spans="2:9" x14ac:dyDescent="0.25">
      <c r="B61" s="181"/>
      <c r="C61" s="63" t="s">
        <v>17</v>
      </c>
      <c r="D61" s="64">
        <v>4610.74</v>
      </c>
      <c r="E61" s="64">
        <v>4178.97</v>
      </c>
      <c r="F61" s="62"/>
      <c r="G61" s="2"/>
    </row>
    <row r="62" spans="2:9" x14ac:dyDescent="0.25">
      <c r="B62" s="181"/>
      <c r="C62" s="63" t="s">
        <v>18</v>
      </c>
      <c r="D62" s="64">
        <v>4749.05</v>
      </c>
      <c r="E62" s="64">
        <v>4304.34</v>
      </c>
      <c r="F62" s="64">
        <v>5461.41</v>
      </c>
      <c r="G62" s="3">
        <v>4949.99</v>
      </c>
    </row>
    <row r="63" spans="2:9" x14ac:dyDescent="0.25">
      <c r="B63" s="181"/>
      <c r="C63" s="63" t="s">
        <v>19</v>
      </c>
      <c r="D63" s="64">
        <v>4891.53</v>
      </c>
      <c r="E63" s="64">
        <v>4433.47</v>
      </c>
      <c r="F63" s="64">
        <v>5625.25</v>
      </c>
      <c r="G63" s="3">
        <v>5098.49</v>
      </c>
    </row>
    <row r="64" spans="2:9" x14ac:dyDescent="0.25">
      <c r="B64" s="181"/>
      <c r="C64" s="63" t="s">
        <v>20</v>
      </c>
      <c r="D64" s="64">
        <v>5038.2700000000004</v>
      </c>
      <c r="E64" s="64">
        <v>4566.4799999999996</v>
      </c>
      <c r="F64" s="64">
        <v>5794.01</v>
      </c>
      <c r="G64" s="3">
        <v>5251.45</v>
      </c>
    </row>
    <row r="65" spans="2:7" x14ac:dyDescent="0.25">
      <c r="B65" s="179" t="s">
        <v>21</v>
      </c>
      <c r="C65" s="63" t="s">
        <v>15</v>
      </c>
      <c r="D65" s="64">
        <v>5290.18</v>
      </c>
      <c r="E65" s="64">
        <v>4794.8</v>
      </c>
      <c r="F65" s="64">
        <v>6083.71</v>
      </c>
      <c r="G65" s="3">
        <v>5514.02</v>
      </c>
    </row>
    <row r="66" spans="2:7" x14ac:dyDescent="0.25">
      <c r="B66" s="179"/>
      <c r="C66" s="63" t="s">
        <v>16</v>
      </c>
      <c r="D66" s="64">
        <v>5448.89</v>
      </c>
      <c r="E66" s="64">
        <v>4938.6400000000003</v>
      </c>
      <c r="F66" s="64">
        <v>6266.22</v>
      </c>
      <c r="G66" s="3">
        <v>5679.44</v>
      </c>
    </row>
    <row r="67" spans="2:7" x14ac:dyDescent="0.25">
      <c r="B67" s="179"/>
      <c r="C67" s="63" t="s">
        <v>17</v>
      </c>
      <c r="D67" s="64">
        <v>5612.36</v>
      </c>
      <c r="E67" s="64">
        <v>5086.8100000000004</v>
      </c>
      <c r="F67" s="64">
        <v>6454.22</v>
      </c>
      <c r="G67" s="3">
        <v>5849.83</v>
      </c>
    </row>
    <row r="68" spans="2:7" x14ac:dyDescent="0.25">
      <c r="B68" s="179"/>
      <c r="C68" s="2" t="s">
        <v>18</v>
      </c>
      <c r="D68" s="3">
        <v>5780.73</v>
      </c>
      <c r="E68" s="3">
        <v>5239.41</v>
      </c>
      <c r="F68" s="3">
        <v>6647.83</v>
      </c>
      <c r="G68" s="3">
        <v>6025.32</v>
      </c>
    </row>
    <row r="69" spans="2:7" x14ac:dyDescent="0.25">
      <c r="B69" s="179"/>
      <c r="C69" s="2" t="s">
        <v>19</v>
      </c>
      <c r="D69" s="3">
        <v>5954.15</v>
      </c>
      <c r="E69" s="3">
        <v>5396.59</v>
      </c>
      <c r="F69" s="3">
        <v>6847.27</v>
      </c>
      <c r="G69" s="3">
        <v>6206.08</v>
      </c>
    </row>
    <row r="70" spans="2:7" x14ac:dyDescent="0.25">
      <c r="B70" s="179"/>
      <c r="C70" s="2" t="s">
        <v>20</v>
      </c>
      <c r="D70" s="3">
        <v>6132.77</v>
      </c>
      <c r="E70" s="3">
        <v>5558.49</v>
      </c>
      <c r="F70" s="3">
        <v>7052.69</v>
      </c>
      <c r="G70" s="3">
        <v>6392.26</v>
      </c>
    </row>
    <row r="71" spans="2:7" x14ac:dyDescent="0.25">
      <c r="B71" s="179" t="s">
        <v>22</v>
      </c>
      <c r="C71" s="2" t="s">
        <v>15</v>
      </c>
      <c r="D71" s="3">
        <v>6439.41</v>
      </c>
      <c r="E71" s="3">
        <v>5836.41</v>
      </c>
      <c r="F71" s="3">
        <v>7405.32</v>
      </c>
      <c r="G71" s="3">
        <v>6711.87</v>
      </c>
    </row>
    <row r="72" spans="2:7" x14ac:dyDescent="0.25">
      <c r="B72" s="179"/>
      <c r="C72" s="2" t="s">
        <v>16</v>
      </c>
      <c r="D72" s="3">
        <v>6632.59</v>
      </c>
      <c r="E72" s="3">
        <v>6011.51</v>
      </c>
      <c r="F72" s="3">
        <v>7627.49</v>
      </c>
      <c r="G72" s="3">
        <v>6913.24</v>
      </c>
    </row>
    <row r="73" spans="2:7" x14ac:dyDescent="0.25">
      <c r="B73" s="179"/>
      <c r="C73" s="2" t="s">
        <v>17</v>
      </c>
      <c r="D73" s="3">
        <v>6831.57</v>
      </c>
      <c r="E73" s="3">
        <v>6191.86</v>
      </c>
      <c r="F73" s="3">
        <v>7856.31</v>
      </c>
      <c r="G73" s="3">
        <v>7120.63</v>
      </c>
    </row>
    <row r="74" spans="2:7" x14ac:dyDescent="0.25">
      <c r="B74" s="179"/>
      <c r="C74" s="2" t="s">
        <v>18</v>
      </c>
      <c r="D74" s="3">
        <v>7036.52</v>
      </c>
      <c r="E74" s="3">
        <v>6377.62</v>
      </c>
      <c r="F74" s="3">
        <v>8092</v>
      </c>
      <c r="G74" s="3">
        <v>7334.26</v>
      </c>
    </row>
    <row r="75" spans="2:7" x14ac:dyDescent="0.25">
      <c r="B75" s="179"/>
      <c r="C75" s="2" t="s">
        <v>19</v>
      </c>
      <c r="D75" s="3">
        <v>7247.62</v>
      </c>
      <c r="E75" s="3">
        <v>6568.94</v>
      </c>
      <c r="F75" s="3">
        <v>8334.76</v>
      </c>
      <c r="G75" s="3">
        <v>7554.29</v>
      </c>
    </row>
    <row r="76" spans="2:7" x14ac:dyDescent="0.25">
      <c r="B76" s="179"/>
      <c r="C76" s="2" t="s">
        <v>20</v>
      </c>
      <c r="D76" s="3">
        <v>7465.04</v>
      </c>
      <c r="E76" s="3">
        <v>6766.01</v>
      </c>
      <c r="F76" s="3">
        <v>8584.81</v>
      </c>
      <c r="G76" s="3">
        <v>7780.92</v>
      </c>
    </row>
    <row r="79" spans="2:7" x14ac:dyDescent="0.25">
      <c r="B79" t="s">
        <v>29</v>
      </c>
    </row>
    <row r="80" spans="2:7" x14ac:dyDescent="0.25">
      <c r="B80" t="s">
        <v>127</v>
      </c>
    </row>
    <row r="82" spans="2:6" x14ac:dyDescent="0.25">
      <c r="B82" s="204" t="s">
        <v>3</v>
      </c>
      <c r="C82" s="204"/>
      <c r="D82" s="204"/>
      <c r="E82" s="204"/>
      <c r="F82" s="204"/>
    </row>
    <row r="83" spans="2:6" x14ac:dyDescent="0.25">
      <c r="B83" s="183" t="s">
        <v>4</v>
      </c>
      <c r="C83" s="183"/>
      <c r="D83" s="204" t="s">
        <v>5</v>
      </c>
      <c r="E83" s="204"/>
      <c r="F83" s="204"/>
    </row>
    <row r="84" spans="2:6" ht="45" x14ac:dyDescent="0.25">
      <c r="B84" s="183"/>
      <c r="C84" s="183"/>
      <c r="D84" s="2" t="s">
        <v>128</v>
      </c>
      <c r="E84" s="6" t="s">
        <v>32</v>
      </c>
      <c r="F84" s="2" t="s">
        <v>33</v>
      </c>
    </row>
    <row r="85" spans="2:6" ht="30" x14ac:dyDescent="0.25">
      <c r="B85" s="57" t="s">
        <v>11</v>
      </c>
      <c r="C85" s="57" t="s">
        <v>12</v>
      </c>
      <c r="D85" s="57" t="s">
        <v>13</v>
      </c>
      <c r="E85" s="57" t="s">
        <v>13</v>
      </c>
      <c r="F85" s="57" t="s">
        <v>13</v>
      </c>
    </row>
    <row r="86" spans="2:6" x14ac:dyDescent="0.25">
      <c r="B86" s="181" t="s">
        <v>14</v>
      </c>
      <c r="C86" s="2" t="s">
        <v>15</v>
      </c>
      <c r="D86" s="3">
        <v>2961.79</v>
      </c>
      <c r="E86" s="3">
        <v>2508.58</v>
      </c>
      <c r="F86" s="3">
        <v>2508.58</v>
      </c>
    </row>
    <row r="87" spans="2:6" x14ac:dyDescent="0.25">
      <c r="B87" s="181"/>
      <c r="C87" s="2" t="s">
        <v>16</v>
      </c>
      <c r="D87" s="3">
        <v>3050.64</v>
      </c>
      <c r="E87" s="3">
        <v>2583.84</v>
      </c>
      <c r="F87" s="3">
        <v>2583.84</v>
      </c>
    </row>
    <row r="88" spans="2:6" x14ac:dyDescent="0.25">
      <c r="B88" s="181"/>
      <c r="C88" s="2" t="s">
        <v>17</v>
      </c>
      <c r="D88" s="3">
        <v>3142.16</v>
      </c>
      <c r="E88" s="3">
        <v>2661.35</v>
      </c>
      <c r="F88" s="3">
        <v>2661.35</v>
      </c>
    </row>
    <row r="89" spans="2:6" x14ac:dyDescent="0.25">
      <c r="B89" s="181"/>
      <c r="C89" s="2" t="s">
        <v>18</v>
      </c>
      <c r="D89" s="3">
        <v>3236.42</v>
      </c>
      <c r="E89" s="3">
        <v>2741.19</v>
      </c>
      <c r="F89" s="3">
        <v>2741.19</v>
      </c>
    </row>
    <row r="90" spans="2:6" x14ac:dyDescent="0.25">
      <c r="B90" s="181"/>
      <c r="C90" s="2" t="s">
        <v>19</v>
      </c>
      <c r="D90" s="3">
        <v>3333.52</v>
      </c>
      <c r="E90" s="3">
        <v>2823.43</v>
      </c>
      <c r="F90" s="3">
        <v>2823.43</v>
      </c>
    </row>
    <row r="91" spans="2:6" x14ac:dyDescent="0.25">
      <c r="B91" s="181"/>
      <c r="C91" s="2" t="s">
        <v>20</v>
      </c>
      <c r="D91" s="3">
        <v>3433.52</v>
      </c>
      <c r="E91" s="3">
        <v>2908.13</v>
      </c>
      <c r="F91" s="3">
        <v>2908.13</v>
      </c>
    </row>
    <row r="92" spans="2:6" x14ac:dyDescent="0.25">
      <c r="B92" s="179" t="s">
        <v>21</v>
      </c>
      <c r="C92" s="2" t="s">
        <v>15</v>
      </c>
      <c r="D92" s="3">
        <v>3605.2</v>
      </c>
      <c r="E92" s="3">
        <v>3053.53</v>
      </c>
      <c r="F92" s="3">
        <v>3053.53</v>
      </c>
    </row>
    <row r="93" spans="2:6" x14ac:dyDescent="0.25">
      <c r="B93" s="179"/>
      <c r="C93" s="2" t="s">
        <v>16</v>
      </c>
      <c r="D93" s="3">
        <v>3713.36</v>
      </c>
      <c r="E93" s="3">
        <v>3145.14</v>
      </c>
      <c r="F93" s="3">
        <v>3145.14</v>
      </c>
    </row>
    <row r="94" spans="2:6" x14ac:dyDescent="0.25">
      <c r="B94" s="179"/>
      <c r="C94" s="2" t="s">
        <v>17</v>
      </c>
      <c r="D94" s="3">
        <v>3824.76</v>
      </c>
      <c r="E94" s="3">
        <v>3239.48</v>
      </c>
      <c r="F94" s="3">
        <v>3239.48</v>
      </c>
    </row>
    <row r="95" spans="2:6" x14ac:dyDescent="0.25">
      <c r="B95" s="179"/>
      <c r="C95" s="2" t="s">
        <v>18</v>
      </c>
      <c r="D95" s="3">
        <v>3939.51</v>
      </c>
      <c r="E95" s="3">
        <v>3336.67</v>
      </c>
      <c r="F95" s="3">
        <v>3336.67</v>
      </c>
    </row>
    <row r="96" spans="2:6" x14ac:dyDescent="0.25">
      <c r="B96" s="179"/>
      <c r="C96" s="2" t="s">
        <v>19</v>
      </c>
      <c r="D96" s="3">
        <v>4057.7</v>
      </c>
      <c r="E96" s="3">
        <v>3436.77</v>
      </c>
      <c r="F96" s="3">
        <v>3436.77</v>
      </c>
    </row>
    <row r="97" spans="2:6" x14ac:dyDescent="0.25">
      <c r="B97" s="179"/>
      <c r="C97" s="2" t="s">
        <v>20</v>
      </c>
      <c r="D97" s="3">
        <v>4179.43</v>
      </c>
      <c r="E97" s="3">
        <v>3539.87</v>
      </c>
      <c r="F97" s="3">
        <v>3539.87</v>
      </c>
    </row>
    <row r="98" spans="2:6" x14ac:dyDescent="0.25">
      <c r="B98" s="179" t="s">
        <v>22</v>
      </c>
      <c r="C98" s="2" t="s">
        <v>15</v>
      </c>
      <c r="D98" s="3">
        <v>4388.3999999999996</v>
      </c>
      <c r="E98" s="3">
        <v>3716.87</v>
      </c>
      <c r="F98" s="3">
        <v>3716.87</v>
      </c>
    </row>
    <row r="99" spans="2:6" x14ac:dyDescent="0.25">
      <c r="B99" s="179"/>
      <c r="C99" s="2" t="s">
        <v>16</v>
      </c>
      <c r="D99" s="3">
        <v>4520.05</v>
      </c>
      <c r="E99" s="3">
        <v>3828.37</v>
      </c>
      <c r="F99" s="3">
        <v>3828.37</v>
      </c>
    </row>
    <row r="100" spans="2:6" x14ac:dyDescent="0.25">
      <c r="B100" s="179"/>
      <c r="C100" s="2" t="s">
        <v>17</v>
      </c>
      <c r="D100" s="3">
        <v>4655.6499999999996</v>
      </c>
      <c r="E100" s="3">
        <v>3943.22</v>
      </c>
      <c r="F100" s="3">
        <v>3943.22</v>
      </c>
    </row>
    <row r="101" spans="2:6" x14ac:dyDescent="0.25">
      <c r="B101" s="179"/>
      <c r="C101" s="2" t="s">
        <v>18</v>
      </c>
      <c r="D101" s="3">
        <v>4795.32</v>
      </c>
      <c r="E101" s="3">
        <v>4061.52</v>
      </c>
      <c r="F101" s="3">
        <v>4061.52</v>
      </c>
    </row>
    <row r="102" spans="2:6" x14ac:dyDescent="0.25">
      <c r="B102" s="179"/>
      <c r="C102" s="2" t="s">
        <v>19</v>
      </c>
      <c r="D102" s="3">
        <v>4939.1899999999996</v>
      </c>
      <c r="E102" s="3">
        <v>4183.37</v>
      </c>
      <c r="F102" s="3">
        <v>4183.37</v>
      </c>
    </row>
    <row r="103" spans="2:6" x14ac:dyDescent="0.25">
      <c r="B103" s="179"/>
      <c r="C103" s="2" t="s">
        <v>20</v>
      </c>
      <c r="D103" s="3">
        <v>5087.3599999999997</v>
      </c>
      <c r="E103" s="3">
        <v>4308.88</v>
      </c>
      <c r="F103" s="3">
        <v>4308.88</v>
      </c>
    </row>
    <row r="106" spans="2:6" x14ac:dyDescent="0.25">
      <c r="B106" t="s">
        <v>34</v>
      </c>
    </row>
    <row r="107" spans="2:6" x14ac:dyDescent="0.25">
      <c r="B107" t="s">
        <v>35</v>
      </c>
    </row>
    <row r="109" spans="2:6" x14ac:dyDescent="0.25">
      <c r="B109" s="2" t="s">
        <v>36</v>
      </c>
      <c r="C109" s="2" t="s">
        <v>37</v>
      </c>
      <c r="D109" s="2" t="s">
        <v>129</v>
      </c>
    </row>
    <row r="110" spans="2:6" x14ac:dyDescent="0.25">
      <c r="B110" s="2" t="s">
        <v>38</v>
      </c>
      <c r="C110" s="3">
        <v>3145.16</v>
      </c>
      <c r="D110" s="16">
        <v>1572.58</v>
      </c>
      <c r="F110" s="15"/>
    </row>
    <row r="111" spans="2:6" x14ac:dyDescent="0.25">
      <c r="B111" s="2" t="s">
        <v>39</v>
      </c>
      <c r="C111" s="3">
        <v>5084.43</v>
      </c>
      <c r="D111" s="16">
        <v>2542.21</v>
      </c>
      <c r="F111" s="15"/>
    </row>
    <row r="112" spans="2:6" x14ac:dyDescent="0.25">
      <c r="B112" s="2" t="s">
        <v>40</v>
      </c>
      <c r="C112" s="3">
        <v>6318.52</v>
      </c>
      <c r="D112" s="16">
        <v>3159.26</v>
      </c>
      <c r="F112" s="15"/>
    </row>
    <row r="113" spans="2:19" x14ac:dyDescent="0.25">
      <c r="B113" s="2" t="s">
        <v>41</v>
      </c>
      <c r="C113" s="3">
        <v>7200</v>
      </c>
      <c r="D113" s="16">
        <v>3600</v>
      </c>
      <c r="F113" s="15"/>
    </row>
    <row r="114" spans="2:19" x14ac:dyDescent="0.25">
      <c r="B114" s="2" t="s">
        <v>42</v>
      </c>
      <c r="C114" s="3">
        <v>10725.95</v>
      </c>
      <c r="D114" s="16">
        <v>5362.97</v>
      </c>
      <c r="F114" s="15"/>
    </row>
    <row r="115" spans="2:19" x14ac:dyDescent="0.25">
      <c r="B115" s="2" t="s">
        <v>43</v>
      </c>
      <c r="C115" s="3">
        <v>12488.91</v>
      </c>
      <c r="D115" s="16">
        <v>6244.45</v>
      </c>
      <c r="F115" s="15"/>
    </row>
    <row r="116" spans="2:19" x14ac:dyDescent="0.25">
      <c r="B116" s="2" t="s">
        <v>44</v>
      </c>
      <c r="C116" s="3">
        <v>16266.98</v>
      </c>
      <c r="D116" s="16">
        <v>8133.49</v>
      </c>
      <c r="F116" s="15"/>
    </row>
    <row r="117" spans="2:19" x14ac:dyDescent="0.25">
      <c r="B117" s="2" t="s">
        <v>45</v>
      </c>
      <c r="C117" s="3">
        <v>23752.36</v>
      </c>
      <c r="D117" s="16">
        <v>11876.18</v>
      </c>
      <c r="F117" s="15"/>
    </row>
    <row r="119" spans="2:19" x14ac:dyDescent="0.25">
      <c r="B119" t="s">
        <v>46</v>
      </c>
    </row>
    <row r="120" spans="2:19" x14ac:dyDescent="0.25">
      <c r="B120" t="s">
        <v>47</v>
      </c>
    </row>
    <row r="122" spans="2:19" x14ac:dyDescent="0.25">
      <c r="B122" s="2" t="s">
        <v>36</v>
      </c>
      <c r="C122" s="2" t="s">
        <v>37</v>
      </c>
    </row>
    <row r="123" spans="2:19" x14ac:dyDescent="0.25">
      <c r="B123" s="2" t="s">
        <v>48</v>
      </c>
      <c r="C123" s="14">
        <v>3600</v>
      </c>
    </row>
    <row r="125" spans="2:19" ht="30" x14ac:dyDescent="0.25">
      <c r="B125" s="13" t="s">
        <v>49</v>
      </c>
      <c r="C125" s="13"/>
      <c r="D125" s="13"/>
      <c r="E125" s="13"/>
      <c r="F125" s="13"/>
    </row>
    <row r="126" spans="2:19" ht="90" customHeight="1" x14ac:dyDescent="0.25">
      <c r="B126" s="225" t="s">
        <v>50</v>
      </c>
      <c r="C126" s="225"/>
      <c r="D126" s="225" t="s">
        <v>51</v>
      </c>
      <c r="E126" s="225"/>
      <c r="F126" s="225"/>
      <c r="G126" s="225"/>
      <c r="H126" s="225" t="s">
        <v>52</v>
      </c>
      <c r="I126" s="225"/>
      <c r="J126" s="225"/>
      <c r="K126" s="225" t="s">
        <v>53</v>
      </c>
      <c r="L126" s="225"/>
      <c r="M126" s="225"/>
      <c r="N126" s="225"/>
      <c r="O126" s="22" t="s">
        <v>130</v>
      </c>
      <c r="P126" s="22" t="s">
        <v>131</v>
      </c>
      <c r="Q126" s="21" t="s">
        <v>132</v>
      </c>
      <c r="R126" s="22" t="s">
        <v>133</v>
      </c>
      <c r="S126" s="55" t="s">
        <v>134</v>
      </c>
    </row>
    <row r="127" spans="2:19" ht="90" customHeight="1" x14ac:dyDescent="0.25">
      <c r="B127" s="225" t="s">
        <v>65</v>
      </c>
      <c r="C127" s="225"/>
      <c r="D127" s="225" t="s">
        <v>66</v>
      </c>
      <c r="E127" s="225"/>
      <c r="F127" s="225"/>
      <c r="G127" s="225"/>
      <c r="H127" s="225" t="s">
        <v>67</v>
      </c>
      <c r="I127" s="225"/>
      <c r="J127" s="225"/>
      <c r="K127" s="225" t="s">
        <v>68</v>
      </c>
      <c r="L127" s="225"/>
      <c r="M127" s="225"/>
      <c r="N127" s="225"/>
    </row>
    <row r="128" spans="2:19" ht="90" customHeight="1" x14ac:dyDescent="0.25">
      <c r="B128" s="225" t="s">
        <v>69</v>
      </c>
      <c r="C128" s="225"/>
      <c r="D128" s="225" t="s">
        <v>70</v>
      </c>
      <c r="E128" s="225"/>
      <c r="F128" s="225"/>
      <c r="G128" s="225"/>
      <c r="H128" s="225" t="s">
        <v>67</v>
      </c>
      <c r="I128" s="225"/>
      <c r="J128" s="225"/>
      <c r="K128" s="225" t="s">
        <v>68</v>
      </c>
      <c r="L128" s="225"/>
      <c r="M128" s="225"/>
      <c r="N128" s="225"/>
    </row>
    <row r="129" spans="2:15" ht="90" customHeight="1" x14ac:dyDescent="0.25">
      <c r="B129" s="225" t="s">
        <v>71</v>
      </c>
      <c r="C129" s="225"/>
      <c r="D129" s="225" t="s">
        <v>72</v>
      </c>
      <c r="E129" s="225"/>
      <c r="F129" s="225"/>
      <c r="G129" s="225"/>
      <c r="H129" s="243" t="s">
        <v>135</v>
      </c>
      <c r="I129" s="243"/>
      <c r="J129" s="243"/>
      <c r="K129" s="225" t="s">
        <v>74</v>
      </c>
      <c r="L129" s="225"/>
      <c r="M129" s="225"/>
      <c r="N129" s="225"/>
    </row>
    <row r="130" spans="2:15" ht="90" customHeight="1" x14ac:dyDescent="0.25">
      <c r="B130" s="225" t="s">
        <v>75</v>
      </c>
      <c r="C130" s="225"/>
      <c r="D130" s="225" t="s">
        <v>76</v>
      </c>
      <c r="E130" s="225"/>
      <c r="F130" s="225"/>
      <c r="G130" s="225"/>
      <c r="H130" s="243" t="s">
        <v>135</v>
      </c>
      <c r="I130" s="243"/>
      <c r="J130" s="243"/>
      <c r="K130" s="225" t="s">
        <v>77</v>
      </c>
      <c r="L130" s="225"/>
      <c r="M130" s="225"/>
      <c r="N130" s="225"/>
    </row>
    <row r="131" spans="2:15" ht="90" customHeight="1" x14ac:dyDescent="0.25">
      <c r="B131" s="225" t="s">
        <v>78</v>
      </c>
      <c r="C131" s="225"/>
      <c r="D131" s="225" t="s">
        <v>79</v>
      </c>
      <c r="E131" s="225"/>
      <c r="F131" s="225"/>
      <c r="G131" s="225"/>
      <c r="H131" s="244">
        <v>1411.28</v>
      </c>
      <c r="I131" s="244"/>
      <c r="J131" s="244"/>
      <c r="K131" s="225" t="s">
        <v>80</v>
      </c>
      <c r="L131" s="225"/>
      <c r="M131" s="225"/>
      <c r="N131" s="225"/>
      <c r="O131" s="54"/>
    </row>
    <row r="132" spans="2:15" ht="90" customHeight="1" x14ac:dyDescent="0.25">
      <c r="B132" s="225" t="s">
        <v>81</v>
      </c>
      <c r="C132" s="225"/>
      <c r="D132" s="225" t="s">
        <v>82</v>
      </c>
      <c r="E132" s="225"/>
      <c r="F132" s="225"/>
      <c r="G132" s="225"/>
      <c r="H132" s="244">
        <v>1411.28</v>
      </c>
      <c r="I132" s="244"/>
      <c r="J132" s="244"/>
      <c r="K132" s="225" t="s">
        <v>83</v>
      </c>
      <c r="L132" s="225"/>
      <c r="M132" s="225"/>
      <c r="N132" s="225"/>
    </row>
    <row r="133" spans="2:15" ht="90" customHeight="1" x14ac:dyDescent="0.25">
      <c r="B133" s="225" t="s">
        <v>84</v>
      </c>
      <c r="C133" s="225"/>
      <c r="D133" s="225" t="s">
        <v>85</v>
      </c>
      <c r="E133" s="225"/>
      <c r="F133" s="225"/>
      <c r="G133" s="225"/>
      <c r="H133" s="243" t="s">
        <v>136</v>
      </c>
      <c r="I133" s="243"/>
      <c r="J133" s="243"/>
      <c r="K133" s="225" t="s">
        <v>87</v>
      </c>
      <c r="L133" s="225"/>
      <c r="M133" s="225"/>
      <c r="N133" s="225"/>
    </row>
    <row r="136" spans="2:15" x14ac:dyDescent="0.25">
      <c r="B136" t="s">
        <v>88</v>
      </c>
    </row>
    <row r="138" spans="2:15" x14ac:dyDescent="0.25">
      <c r="B138" s="65"/>
      <c r="C138" s="66">
        <v>2020</v>
      </c>
      <c r="D138" s="66">
        <v>2021</v>
      </c>
      <c r="E138" s="67">
        <v>2022</v>
      </c>
      <c r="F138" s="68"/>
      <c r="G138" s="68"/>
      <c r="H138" s="69"/>
    </row>
    <row r="139" spans="2:15" x14ac:dyDescent="0.25">
      <c r="B139" s="70"/>
      <c r="C139" s="71" t="s">
        <v>89</v>
      </c>
      <c r="D139" s="71" t="s">
        <v>89</v>
      </c>
      <c r="E139" s="71" t="s">
        <v>90</v>
      </c>
      <c r="F139" s="72" t="s">
        <v>91</v>
      </c>
      <c r="G139" s="72" t="s">
        <v>92</v>
      </c>
      <c r="H139" s="72" t="s">
        <v>93</v>
      </c>
    </row>
    <row r="140" spans="2:15" x14ac:dyDescent="0.25">
      <c r="B140" s="73" t="s">
        <v>94</v>
      </c>
      <c r="C140" s="74">
        <v>2250</v>
      </c>
      <c r="D140" s="74">
        <v>3000</v>
      </c>
      <c r="E140" s="74">
        <v>4071</v>
      </c>
      <c r="F140" s="74">
        <v>407.1</v>
      </c>
      <c r="G140" s="74">
        <v>1221.3</v>
      </c>
      <c r="H140" s="74">
        <v>2442.6</v>
      </c>
      <c r="I140" s="56"/>
    </row>
    <row r="141" spans="2:15" x14ac:dyDescent="0.25">
      <c r="B141" s="73" t="s">
        <v>95</v>
      </c>
      <c r="C141" s="74">
        <v>2166.75</v>
      </c>
      <c r="D141" s="74">
        <v>2889</v>
      </c>
      <c r="E141" s="74">
        <v>3920.37</v>
      </c>
      <c r="F141" s="74">
        <v>392.04</v>
      </c>
      <c r="G141" s="74">
        <v>1176.1199999999999</v>
      </c>
      <c r="H141" s="74">
        <v>2352.21</v>
      </c>
      <c r="I141" s="56"/>
    </row>
    <row r="142" spans="2:15" x14ac:dyDescent="0.25">
      <c r="B142" s="73" t="s">
        <v>96</v>
      </c>
      <c r="C142" s="74">
        <v>1166.6300000000001</v>
      </c>
      <c r="D142" s="74">
        <v>1555.5</v>
      </c>
      <c r="E142" s="74">
        <v>2110.8200000000002</v>
      </c>
      <c r="F142" s="74">
        <v>211.08</v>
      </c>
      <c r="G142" s="74">
        <v>633.24</v>
      </c>
      <c r="H142" s="74">
        <v>1266.5</v>
      </c>
      <c r="I142" s="56"/>
    </row>
    <row r="143" spans="2:15" x14ac:dyDescent="0.25">
      <c r="B143" s="73" t="s">
        <v>97</v>
      </c>
      <c r="C143" s="74">
        <v>1833.3</v>
      </c>
      <c r="D143" s="74">
        <v>2444.4</v>
      </c>
      <c r="E143" s="74">
        <v>3317.05</v>
      </c>
      <c r="F143" s="74">
        <v>331.71</v>
      </c>
      <c r="G143" s="74">
        <v>995.12</v>
      </c>
      <c r="H143" s="74">
        <v>1990.22</v>
      </c>
      <c r="I143" s="56"/>
    </row>
    <row r="144" spans="2:15" x14ac:dyDescent="0.25">
      <c r="B144" s="73" t="s">
        <v>98</v>
      </c>
      <c r="C144" s="74">
        <v>1750.05</v>
      </c>
      <c r="D144" s="74">
        <v>2333.4</v>
      </c>
      <c r="E144" s="74">
        <v>3166.42</v>
      </c>
      <c r="F144" s="74">
        <v>316.64999999999998</v>
      </c>
      <c r="G144" s="74">
        <v>949.93</v>
      </c>
      <c r="H144" s="74">
        <v>1899.84</v>
      </c>
      <c r="I144" s="56"/>
    </row>
    <row r="145" spans="2:9" x14ac:dyDescent="0.25">
      <c r="B145" s="73" t="s">
        <v>99</v>
      </c>
      <c r="C145" s="74">
        <v>1750.05</v>
      </c>
      <c r="D145" s="74">
        <v>2333.4</v>
      </c>
      <c r="E145" s="74">
        <v>3166.42</v>
      </c>
      <c r="F145" s="74">
        <v>316.64999999999998</v>
      </c>
      <c r="G145" s="74">
        <v>949.93</v>
      </c>
      <c r="H145" s="74">
        <v>1899.84</v>
      </c>
      <c r="I145" s="56"/>
    </row>
    <row r="146" spans="2:9" x14ac:dyDescent="0.25">
      <c r="B146" s="73" t="s">
        <v>100</v>
      </c>
      <c r="C146" s="74">
        <v>1166.6300000000001</v>
      </c>
      <c r="D146" s="74">
        <v>1555.5</v>
      </c>
      <c r="E146" s="74">
        <v>2110.8200000000002</v>
      </c>
      <c r="F146" s="74">
        <v>211.08</v>
      </c>
      <c r="G146" s="74">
        <v>633.24</v>
      </c>
      <c r="H146" s="74">
        <v>1266.5</v>
      </c>
      <c r="I146" s="56"/>
    </row>
    <row r="147" spans="2:9" x14ac:dyDescent="0.25">
      <c r="B147" s="73" t="s">
        <v>137</v>
      </c>
      <c r="C147" s="74">
        <v>833.5</v>
      </c>
      <c r="D147" s="74">
        <v>1111.2</v>
      </c>
      <c r="E147" s="74">
        <v>1507.9</v>
      </c>
      <c r="F147" s="74">
        <v>150.79</v>
      </c>
      <c r="G147" s="74">
        <v>452.37</v>
      </c>
      <c r="H147" s="74">
        <v>904.74</v>
      </c>
      <c r="I147" s="56"/>
    </row>
    <row r="152" spans="2:9" x14ac:dyDescent="0.25">
      <c r="B152" t="s">
        <v>102</v>
      </c>
    </row>
    <row r="153" spans="2:9" x14ac:dyDescent="0.25">
      <c r="B153" s="75" t="s">
        <v>103</v>
      </c>
      <c r="C153" s="75" t="s">
        <v>104</v>
      </c>
      <c r="D153" s="75" t="s">
        <v>105</v>
      </c>
      <c r="E153" s="193" t="s">
        <v>106</v>
      </c>
      <c r="F153" s="193"/>
      <c r="G153" s="193"/>
    </row>
    <row r="154" spans="2:9" x14ac:dyDescent="0.25">
      <c r="B154" s="75"/>
      <c r="C154" s="75"/>
      <c r="D154" s="75"/>
      <c r="E154" s="60" t="s">
        <v>107</v>
      </c>
      <c r="F154" s="60" t="s">
        <v>108</v>
      </c>
      <c r="G154" s="75" t="s">
        <v>109</v>
      </c>
    </row>
    <row r="155" spans="2:9" x14ac:dyDescent="0.25">
      <c r="B155" s="180" t="s">
        <v>94</v>
      </c>
      <c r="C155" s="181" t="s">
        <v>14</v>
      </c>
      <c r="D155" s="77" t="s">
        <v>15</v>
      </c>
      <c r="E155" s="78">
        <v>322.58999999999997</v>
      </c>
      <c r="F155" s="79">
        <v>645.17999999999995</v>
      </c>
      <c r="G155" s="78">
        <v>967.77</v>
      </c>
    </row>
    <row r="156" spans="2:9" x14ac:dyDescent="0.25">
      <c r="B156" s="180"/>
      <c r="C156" s="181"/>
      <c r="D156" s="77" t="s">
        <v>16</v>
      </c>
      <c r="E156" s="78">
        <v>329.05</v>
      </c>
      <c r="F156" s="79">
        <v>658.08</v>
      </c>
      <c r="G156" s="78">
        <v>987.13</v>
      </c>
    </row>
    <row r="157" spans="2:9" x14ac:dyDescent="0.25">
      <c r="B157" s="180"/>
      <c r="C157" s="181"/>
      <c r="D157" s="77" t="s">
        <v>17</v>
      </c>
      <c r="E157" s="78">
        <v>335.62</v>
      </c>
      <c r="F157" s="79">
        <v>671.25</v>
      </c>
      <c r="G157" s="78">
        <v>1006.87</v>
      </c>
    </row>
    <row r="158" spans="2:9" x14ac:dyDescent="0.25">
      <c r="B158" s="180"/>
      <c r="C158" s="181"/>
      <c r="D158" s="77" t="s">
        <v>18</v>
      </c>
      <c r="E158" s="78">
        <v>342.33</v>
      </c>
      <c r="F158" s="79">
        <v>684.67</v>
      </c>
      <c r="G158" s="78">
        <v>1027</v>
      </c>
    </row>
    <row r="159" spans="2:9" x14ac:dyDescent="0.25">
      <c r="B159" s="180"/>
      <c r="C159" s="181"/>
      <c r="D159" s="77" t="s">
        <v>19</v>
      </c>
      <c r="E159" s="78">
        <v>349.18</v>
      </c>
      <c r="F159" s="79">
        <v>698.37</v>
      </c>
      <c r="G159" s="78">
        <v>1047.54</v>
      </c>
    </row>
    <row r="160" spans="2:9" x14ac:dyDescent="0.25">
      <c r="B160" s="180"/>
      <c r="C160" s="181"/>
      <c r="D160" s="77" t="s">
        <v>20</v>
      </c>
      <c r="E160" s="78">
        <v>356.16</v>
      </c>
      <c r="F160" s="79">
        <v>712.33</v>
      </c>
      <c r="G160" s="78">
        <v>1068.49</v>
      </c>
    </row>
    <row r="161" spans="2:8" x14ac:dyDescent="0.25">
      <c r="B161" s="180" t="s">
        <v>110</v>
      </c>
      <c r="C161" s="181" t="s">
        <v>21</v>
      </c>
      <c r="D161" s="77" t="s">
        <v>15</v>
      </c>
      <c r="E161" s="78">
        <v>363.29</v>
      </c>
      <c r="F161" s="79">
        <v>726.58</v>
      </c>
      <c r="G161" s="80">
        <v>1089.8699999999999</v>
      </c>
    </row>
    <row r="162" spans="2:8" x14ac:dyDescent="0.25">
      <c r="B162" s="180"/>
      <c r="C162" s="181"/>
      <c r="D162" s="77" t="s">
        <v>16</v>
      </c>
      <c r="E162" s="78">
        <v>370.56</v>
      </c>
      <c r="F162" s="79">
        <v>741.11</v>
      </c>
      <c r="G162" s="80">
        <v>1111.67</v>
      </c>
    </row>
    <row r="163" spans="2:8" x14ac:dyDescent="0.25">
      <c r="B163" s="180"/>
      <c r="C163" s="181"/>
      <c r="D163" s="77" t="s">
        <v>17</v>
      </c>
      <c r="E163" s="78">
        <v>377.96</v>
      </c>
      <c r="F163" s="79">
        <v>755.94</v>
      </c>
      <c r="G163" s="80">
        <v>1133.9000000000001</v>
      </c>
    </row>
    <row r="164" spans="2:8" x14ac:dyDescent="0.25">
      <c r="B164" s="180"/>
      <c r="C164" s="181"/>
      <c r="D164" s="77" t="s">
        <v>18</v>
      </c>
      <c r="E164" s="78">
        <v>385.53</v>
      </c>
      <c r="F164" s="79">
        <v>771.05</v>
      </c>
      <c r="G164" s="80">
        <v>1156.58</v>
      </c>
    </row>
    <row r="165" spans="2:8" x14ac:dyDescent="0.25">
      <c r="B165" s="180"/>
      <c r="C165" s="181"/>
      <c r="D165" s="77" t="s">
        <v>19</v>
      </c>
      <c r="E165" s="78">
        <v>393.24</v>
      </c>
      <c r="F165" s="79">
        <v>786.47</v>
      </c>
      <c r="G165" s="80">
        <v>1179.71</v>
      </c>
    </row>
    <row r="166" spans="2:8" x14ac:dyDescent="0.25">
      <c r="B166" s="180"/>
      <c r="C166" s="181"/>
      <c r="D166" s="77" t="s">
        <v>20</v>
      </c>
      <c r="E166" s="78">
        <v>401.1</v>
      </c>
      <c r="F166" s="79">
        <v>802.2</v>
      </c>
      <c r="G166" s="80">
        <v>1203.3</v>
      </c>
    </row>
    <row r="167" spans="2:8" x14ac:dyDescent="0.25">
      <c r="B167" s="180" t="s">
        <v>111</v>
      </c>
      <c r="C167" s="180" t="s">
        <v>112</v>
      </c>
      <c r="D167" s="77" t="s">
        <v>15</v>
      </c>
      <c r="E167" s="78">
        <v>409.12</v>
      </c>
      <c r="F167" s="79">
        <v>818.24</v>
      </c>
      <c r="G167" s="80">
        <v>1227.3599999999999</v>
      </c>
    </row>
    <row r="168" spans="2:8" x14ac:dyDescent="0.25">
      <c r="B168" s="180"/>
      <c r="C168" s="180"/>
      <c r="D168" s="77" t="s">
        <v>16</v>
      </c>
      <c r="E168" s="78">
        <v>417.3</v>
      </c>
      <c r="F168" s="79">
        <v>834.61</v>
      </c>
      <c r="G168" s="80">
        <v>1251.9100000000001</v>
      </c>
    </row>
    <row r="169" spans="2:8" x14ac:dyDescent="0.25">
      <c r="B169" s="180"/>
      <c r="C169" s="180"/>
      <c r="D169" s="77" t="s">
        <v>17</v>
      </c>
      <c r="E169" s="78">
        <v>425.65</v>
      </c>
      <c r="F169" s="79">
        <v>851.29</v>
      </c>
      <c r="G169" s="80">
        <v>1276.95</v>
      </c>
    </row>
    <row r="170" spans="2:8" x14ac:dyDescent="0.25">
      <c r="B170" s="180"/>
      <c r="C170" s="180"/>
      <c r="D170" s="77" t="s">
        <v>18</v>
      </c>
      <c r="E170" s="78">
        <v>434.16</v>
      </c>
      <c r="F170" s="79">
        <v>868.33</v>
      </c>
      <c r="G170" s="80">
        <v>1302.49</v>
      </c>
    </row>
    <row r="171" spans="2:8" x14ac:dyDescent="0.25">
      <c r="B171" s="180"/>
      <c r="C171" s="180"/>
      <c r="D171" s="77" t="s">
        <v>19</v>
      </c>
      <c r="E171" s="78">
        <v>442.84</v>
      </c>
      <c r="F171" s="79">
        <v>885.69</v>
      </c>
      <c r="G171" s="80">
        <v>1328.54</v>
      </c>
    </row>
    <row r="172" spans="2:8" x14ac:dyDescent="0.25">
      <c r="B172" s="180"/>
      <c r="C172" s="180"/>
      <c r="D172" s="77" t="s">
        <v>20</v>
      </c>
      <c r="E172" s="78">
        <v>451.7</v>
      </c>
      <c r="F172" s="79">
        <v>903.4</v>
      </c>
      <c r="G172" s="80">
        <v>1355.11</v>
      </c>
    </row>
    <row r="173" spans="2:8" x14ac:dyDescent="0.25">
      <c r="C173" s="81"/>
      <c r="D173" s="81"/>
      <c r="E173" s="81"/>
      <c r="F173" s="81"/>
      <c r="G173" s="81"/>
    </row>
    <row r="174" spans="2:8" x14ac:dyDescent="0.25">
      <c r="C174" s="81"/>
      <c r="D174" s="81"/>
      <c r="E174" s="81"/>
      <c r="F174" s="81"/>
      <c r="G174" s="81"/>
      <c r="H174" s="81"/>
    </row>
    <row r="175" spans="2:8" x14ac:dyDescent="0.25">
      <c r="B175" t="s">
        <v>113</v>
      </c>
      <c r="C175" s="81"/>
      <c r="D175" s="81"/>
      <c r="E175" s="81"/>
      <c r="F175" s="81"/>
      <c r="G175" s="81"/>
      <c r="H175" s="81"/>
    </row>
    <row r="176" spans="2:8" x14ac:dyDescent="0.25">
      <c r="B176" s="82"/>
      <c r="C176" s="81"/>
      <c r="D176" s="81"/>
      <c r="E176" s="81"/>
      <c r="F176" s="81"/>
      <c r="G176" s="81"/>
      <c r="H176" s="81"/>
    </row>
    <row r="177" spans="2:8" x14ac:dyDescent="0.25">
      <c r="B177" s="179" t="s">
        <v>114</v>
      </c>
      <c r="C177" s="179"/>
      <c r="D177" s="179"/>
      <c r="E177" s="179"/>
      <c r="F177" s="179"/>
      <c r="G177" s="179"/>
      <c r="H177" s="179"/>
    </row>
    <row r="178" spans="2:8" x14ac:dyDescent="0.25">
      <c r="B178" s="180" t="s">
        <v>115</v>
      </c>
      <c r="C178" s="181" t="s">
        <v>116</v>
      </c>
      <c r="D178" s="181" t="s">
        <v>117</v>
      </c>
      <c r="E178" s="182" t="s">
        <v>106</v>
      </c>
      <c r="F178" s="182"/>
      <c r="G178" s="182"/>
      <c r="H178" s="182"/>
    </row>
    <row r="179" spans="2:8" ht="45" x14ac:dyDescent="0.25">
      <c r="B179" s="180"/>
      <c r="C179" s="181"/>
      <c r="D179" s="181"/>
      <c r="E179" s="58" t="s">
        <v>118</v>
      </c>
      <c r="F179" s="58" t="s">
        <v>107</v>
      </c>
      <c r="G179" s="58" t="s">
        <v>108</v>
      </c>
      <c r="H179" s="58" t="s">
        <v>109</v>
      </c>
    </row>
    <row r="180" spans="2:8" x14ac:dyDescent="0.25">
      <c r="B180" s="180" t="s">
        <v>119</v>
      </c>
      <c r="C180" s="191" t="s">
        <v>14</v>
      </c>
      <c r="D180" s="76" t="s">
        <v>15</v>
      </c>
      <c r="E180" s="83">
        <v>171.33</v>
      </c>
      <c r="F180" s="78">
        <v>171.33</v>
      </c>
      <c r="G180" s="78">
        <v>342.66</v>
      </c>
      <c r="H180" s="78">
        <v>513.99</v>
      </c>
    </row>
    <row r="181" spans="2:8" x14ac:dyDescent="0.25">
      <c r="B181" s="180"/>
      <c r="C181" s="191"/>
      <c r="D181" s="76" t="s">
        <v>16</v>
      </c>
      <c r="E181" s="83">
        <v>174.76</v>
      </c>
      <c r="F181" s="78">
        <v>174.76</v>
      </c>
      <c r="G181" s="78">
        <v>349.52</v>
      </c>
      <c r="H181" s="78">
        <v>524.28</v>
      </c>
    </row>
    <row r="182" spans="2:8" x14ac:dyDescent="0.25">
      <c r="B182" s="180"/>
      <c r="C182" s="191"/>
      <c r="D182" s="76" t="s">
        <v>17</v>
      </c>
      <c r="E182" s="83">
        <v>178.26</v>
      </c>
      <c r="F182" s="78">
        <v>178.26</v>
      </c>
      <c r="G182" s="78">
        <v>356.51</v>
      </c>
      <c r="H182" s="78">
        <v>534.77</v>
      </c>
    </row>
    <row r="183" spans="2:8" x14ac:dyDescent="0.25">
      <c r="B183" s="180"/>
      <c r="C183" s="191"/>
      <c r="D183" s="76" t="s">
        <v>18</v>
      </c>
      <c r="E183" s="83">
        <v>181.82</v>
      </c>
      <c r="F183" s="78">
        <v>181.82</v>
      </c>
      <c r="G183" s="78">
        <v>363.63</v>
      </c>
      <c r="H183" s="78">
        <v>545.45000000000005</v>
      </c>
    </row>
    <row r="184" spans="2:8" x14ac:dyDescent="0.25">
      <c r="B184" s="180"/>
      <c r="C184" s="191"/>
      <c r="D184" s="76" t="s">
        <v>19</v>
      </c>
      <c r="E184" s="83">
        <v>185.45</v>
      </c>
      <c r="F184" s="78">
        <v>185.45</v>
      </c>
      <c r="G184" s="78">
        <v>370.91</v>
      </c>
      <c r="H184" s="78">
        <v>556.36</v>
      </c>
    </row>
    <row r="185" spans="2:8" x14ac:dyDescent="0.25">
      <c r="B185" s="180"/>
      <c r="C185" s="191"/>
      <c r="D185" s="76" t="s">
        <v>20</v>
      </c>
      <c r="E185" s="83">
        <v>189.17</v>
      </c>
      <c r="F185" s="78">
        <v>189.17</v>
      </c>
      <c r="G185" s="78">
        <v>378.33</v>
      </c>
      <c r="H185" s="78">
        <v>567.5</v>
      </c>
    </row>
    <row r="186" spans="2:8" x14ac:dyDescent="0.25">
      <c r="B186" s="180"/>
      <c r="C186" s="191" t="s">
        <v>21</v>
      </c>
      <c r="D186" s="76" t="s">
        <v>15</v>
      </c>
      <c r="E186" s="83">
        <v>192.94</v>
      </c>
      <c r="F186" s="78">
        <v>192.94</v>
      </c>
      <c r="G186" s="78">
        <v>385.89</v>
      </c>
      <c r="H186" s="78">
        <v>578.83000000000004</v>
      </c>
    </row>
    <row r="187" spans="2:8" x14ac:dyDescent="0.25">
      <c r="B187" s="180"/>
      <c r="C187" s="191"/>
      <c r="D187" s="76" t="s">
        <v>16</v>
      </c>
      <c r="E187" s="83">
        <v>196.81</v>
      </c>
      <c r="F187" s="78">
        <v>196.81</v>
      </c>
      <c r="G187" s="78">
        <v>393.62</v>
      </c>
      <c r="H187" s="78">
        <v>590.42999999999995</v>
      </c>
    </row>
    <row r="188" spans="2:8" x14ac:dyDescent="0.25">
      <c r="B188" s="180"/>
      <c r="C188" s="191"/>
      <c r="D188" s="76" t="s">
        <v>17</v>
      </c>
      <c r="E188" s="83">
        <v>200.74</v>
      </c>
      <c r="F188" s="78">
        <v>200.74</v>
      </c>
      <c r="G188" s="78">
        <v>401.48</v>
      </c>
      <c r="H188" s="78">
        <v>602.21</v>
      </c>
    </row>
    <row r="189" spans="2:8" x14ac:dyDescent="0.25">
      <c r="B189" s="180"/>
      <c r="C189" s="191"/>
      <c r="D189" s="76" t="s">
        <v>18</v>
      </c>
      <c r="E189" s="83">
        <v>204.76</v>
      </c>
      <c r="F189" s="78">
        <v>204.76</v>
      </c>
      <c r="G189" s="78">
        <v>409.51</v>
      </c>
      <c r="H189" s="78">
        <v>614.27</v>
      </c>
    </row>
    <row r="190" spans="2:8" x14ac:dyDescent="0.25">
      <c r="B190" s="180"/>
      <c r="C190" s="191"/>
      <c r="D190" s="76" t="s">
        <v>19</v>
      </c>
      <c r="E190" s="83">
        <v>208.85</v>
      </c>
      <c r="F190" s="78">
        <v>208.85</v>
      </c>
      <c r="G190" s="84">
        <v>417.7</v>
      </c>
      <c r="H190" s="78">
        <v>626.54</v>
      </c>
    </row>
    <row r="191" spans="2:8" x14ac:dyDescent="0.25">
      <c r="B191" s="180"/>
      <c r="C191" s="191"/>
      <c r="D191" s="76" t="s">
        <v>20</v>
      </c>
      <c r="E191" s="83">
        <v>213.03</v>
      </c>
      <c r="F191" s="78">
        <v>213.03</v>
      </c>
      <c r="G191" s="84">
        <v>426.05</v>
      </c>
      <c r="H191" s="78">
        <v>639.08000000000004</v>
      </c>
    </row>
    <row r="192" spans="2:8" x14ac:dyDescent="0.25">
      <c r="B192" s="180"/>
      <c r="C192" s="179" t="s">
        <v>112</v>
      </c>
      <c r="D192" s="76" t="s">
        <v>15</v>
      </c>
      <c r="E192" s="85">
        <v>217.28</v>
      </c>
      <c r="F192" s="86">
        <v>217.28</v>
      </c>
      <c r="G192" s="87">
        <v>434.57</v>
      </c>
      <c r="H192" s="78">
        <v>651.85</v>
      </c>
    </row>
    <row r="193" spans="2:8" x14ac:dyDescent="0.25">
      <c r="B193" s="180"/>
      <c r="C193" s="179"/>
      <c r="D193" s="76" t="s">
        <v>16</v>
      </c>
      <c r="E193" s="85">
        <v>221.64</v>
      </c>
      <c r="F193" s="86">
        <v>221.64</v>
      </c>
      <c r="G193" s="87">
        <v>443.27</v>
      </c>
      <c r="H193" s="78">
        <v>664.91</v>
      </c>
    </row>
    <row r="194" spans="2:8" x14ac:dyDescent="0.25">
      <c r="B194" s="180"/>
      <c r="C194" s="179"/>
      <c r="D194" s="76" t="s">
        <v>17</v>
      </c>
      <c r="E194" s="85">
        <v>226.07</v>
      </c>
      <c r="F194" s="86">
        <v>226.07</v>
      </c>
      <c r="G194" s="87">
        <v>452.13</v>
      </c>
      <c r="H194" s="78">
        <v>678.2</v>
      </c>
    </row>
    <row r="195" spans="2:8" x14ac:dyDescent="0.25">
      <c r="B195" s="180"/>
      <c r="C195" s="179"/>
      <c r="D195" s="76" t="s">
        <v>18</v>
      </c>
      <c r="E195" s="85">
        <v>230.59</v>
      </c>
      <c r="F195" s="86">
        <v>230.59</v>
      </c>
      <c r="G195" s="87">
        <v>461.18</v>
      </c>
      <c r="H195" s="78">
        <v>691.78</v>
      </c>
    </row>
    <row r="196" spans="2:8" x14ac:dyDescent="0.25">
      <c r="B196" s="180"/>
      <c r="C196" s="179"/>
      <c r="D196" s="76" t="s">
        <v>19</v>
      </c>
      <c r="E196" s="85">
        <v>235.2</v>
      </c>
      <c r="F196" s="86">
        <v>235.2</v>
      </c>
      <c r="G196" s="87">
        <v>470.4</v>
      </c>
      <c r="H196" s="78">
        <v>705.61</v>
      </c>
    </row>
    <row r="197" spans="2:8" x14ac:dyDescent="0.25">
      <c r="B197" s="190"/>
      <c r="C197" s="187"/>
      <c r="D197" s="88" t="s">
        <v>20</v>
      </c>
      <c r="E197" s="89">
        <v>239.91</v>
      </c>
      <c r="F197" s="90">
        <v>239.91</v>
      </c>
      <c r="G197" s="91">
        <v>479.81</v>
      </c>
      <c r="H197" s="92">
        <v>719.72</v>
      </c>
    </row>
    <row r="198" spans="2:8" x14ac:dyDescent="0.25">
      <c r="B198" s="180" t="s">
        <v>115</v>
      </c>
      <c r="C198" s="181" t="s">
        <v>116</v>
      </c>
      <c r="D198" s="181" t="s">
        <v>117</v>
      </c>
      <c r="E198" s="182" t="s">
        <v>106</v>
      </c>
      <c r="F198" s="182"/>
      <c r="G198" s="182"/>
      <c r="H198" s="182"/>
    </row>
    <row r="199" spans="2:8" ht="45" x14ac:dyDescent="0.25">
      <c r="B199" s="180"/>
      <c r="C199" s="181"/>
      <c r="D199" s="181"/>
      <c r="E199" s="58" t="s">
        <v>118</v>
      </c>
      <c r="F199" s="58" t="s">
        <v>107</v>
      </c>
      <c r="G199" s="58" t="s">
        <v>108</v>
      </c>
      <c r="H199" s="58" t="s">
        <v>109</v>
      </c>
    </row>
    <row r="200" spans="2:8" x14ac:dyDescent="0.25">
      <c r="B200" s="184" t="s">
        <v>120</v>
      </c>
      <c r="C200" s="183" t="s">
        <v>14</v>
      </c>
      <c r="D200" s="76" t="s">
        <v>15</v>
      </c>
      <c r="E200" s="78">
        <v>207.03</v>
      </c>
      <c r="F200" s="78">
        <v>207.03</v>
      </c>
      <c r="G200" s="78">
        <v>414.07</v>
      </c>
      <c r="H200" s="78">
        <v>621.1</v>
      </c>
    </row>
    <row r="201" spans="2:8" x14ac:dyDescent="0.25">
      <c r="B201" s="185"/>
      <c r="C201" s="183"/>
      <c r="D201" s="76" t="s">
        <v>16</v>
      </c>
      <c r="E201" s="78">
        <v>211.18</v>
      </c>
      <c r="F201" s="78">
        <v>211.18</v>
      </c>
      <c r="G201" s="78">
        <v>422.36</v>
      </c>
      <c r="H201" s="78">
        <v>633.54999999999995</v>
      </c>
    </row>
    <row r="202" spans="2:8" x14ac:dyDescent="0.25">
      <c r="B202" s="185"/>
      <c r="C202" s="183"/>
      <c r="D202" s="76" t="s">
        <v>17</v>
      </c>
      <c r="E202" s="78">
        <v>215.4</v>
      </c>
      <c r="F202" s="78">
        <v>215.4</v>
      </c>
      <c r="G202" s="78">
        <v>430.81</v>
      </c>
      <c r="H202" s="78">
        <v>646.21</v>
      </c>
    </row>
    <row r="203" spans="2:8" x14ac:dyDescent="0.25">
      <c r="B203" s="185"/>
      <c r="C203" s="183"/>
      <c r="D203" s="76" t="s">
        <v>18</v>
      </c>
      <c r="E203" s="78">
        <v>219.7</v>
      </c>
      <c r="F203" s="78">
        <v>219.7</v>
      </c>
      <c r="G203" s="78">
        <v>439.41</v>
      </c>
      <c r="H203" s="78">
        <v>659.11</v>
      </c>
    </row>
    <row r="204" spans="2:8" x14ac:dyDescent="0.25">
      <c r="B204" s="185"/>
      <c r="C204" s="183"/>
      <c r="D204" s="76" t="s">
        <v>19</v>
      </c>
      <c r="E204" s="78">
        <v>224.1</v>
      </c>
      <c r="F204" s="78">
        <v>224.1</v>
      </c>
      <c r="G204" s="78">
        <v>448.2</v>
      </c>
      <c r="H204" s="78">
        <v>672.3</v>
      </c>
    </row>
    <row r="205" spans="2:8" x14ac:dyDescent="0.25">
      <c r="B205" s="185"/>
      <c r="C205" s="183"/>
      <c r="D205" s="76" t="s">
        <v>20</v>
      </c>
      <c r="E205" s="78">
        <v>228.58</v>
      </c>
      <c r="F205" s="78">
        <v>228.58</v>
      </c>
      <c r="G205" s="78">
        <v>457.17</v>
      </c>
      <c r="H205" s="78">
        <v>685.75</v>
      </c>
    </row>
    <row r="206" spans="2:8" x14ac:dyDescent="0.25">
      <c r="B206" s="185"/>
      <c r="C206" s="183" t="s">
        <v>21</v>
      </c>
      <c r="D206" s="76" t="s">
        <v>15</v>
      </c>
      <c r="E206" s="78">
        <v>233.15</v>
      </c>
      <c r="F206" s="78">
        <v>233.15</v>
      </c>
      <c r="G206" s="78">
        <v>466.31</v>
      </c>
      <c r="H206" s="78">
        <v>699.46</v>
      </c>
    </row>
    <row r="207" spans="2:8" x14ac:dyDescent="0.25">
      <c r="B207" s="185"/>
      <c r="C207" s="183"/>
      <c r="D207" s="76" t="s">
        <v>16</v>
      </c>
      <c r="E207" s="78">
        <v>237.82</v>
      </c>
      <c r="F207" s="78">
        <v>237.82</v>
      </c>
      <c r="G207" s="78">
        <v>475.64</v>
      </c>
      <c r="H207" s="78">
        <v>713.47</v>
      </c>
    </row>
    <row r="208" spans="2:8" x14ac:dyDescent="0.25">
      <c r="B208" s="185"/>
      <c r="C208" s="183"/>
      <c r="D208" s="76" t="s">
        <v>17</v>
      </c>
      <c r="E208" s="78">
        <v>242.58</v>
      </c>
      <c r="F208" s="78">
        <v>242.58</v>
      </c>
      <c r="G208" s="78">
        <v>485.15</v>
      </c>
      <c r="H208" s="78">
        <v>727.73</v>
      </c>
    </row>
    <row r="209" spans="2:8" x14ac:dyDescent="0.25">
      <c r="B209" s="185"/>
      <c r="C209" s="183"/>
      <c r="D209" s="76" t="s">
        <v>18</v>
      </c>
      <c r="E209" s="78">
        <v>247.43</v>
      </c>
      <c r="F209" s="78">
        <v>247.43</v>
      </c>
      <c r="G209" s="78">
        <v>494.86</v>
      </c>
      <c r="H209" s="78">
        <v>742.29</v>
      </c>
    </row>
    <row r="210" spans="2:8" x14ac:dyDescent="0.25">
      <c r="B210" s="185"/>
      <c r="C210" s="183"/>
      <c r="D210" s="76" t="s">
        <v>19</v>
      </c>
      <c r="E210" s="78">
        <v>252.37</v>
      </c>
      <c r="F210" s="78">
        <v>252.37</v>
      </c>
      <c r="G210" s="78">
        <v>504.74</v>
      </c>
      <c r="H210" s="78">
        <v>757.11</v>
      </c>
    </row>
    <row r="211" spans="2:8" x14ac:dyDescent="0.25">
      <c r="B211" s="185"/>
      <c r="C211" s="183"/>
      <c r="D211" s="76" t="s">
        <v>20</v>
      </c>
      <c r="E211" s="78">
        <v>257.42</v>
      </c>
      <c r="F211" s="78">
        <v>257.42</v>
      </c>
      <c r="G211" s="78">
        <v>514.83000000000004</v>
      </c>
      <c r="H211" s="78">
        <v>772.25</v>
      </c>
    </row>
    <row r="212" spans="2:8" x14ac:dyDescent="0.25">
      <c r="B212" s="185"/>
      <c r="C212" s="187" t="s">
        <v>112</v>
      </c>
      <c r="D212" s="76" t="s">
        <v>15</v>
      </c>
      <c r="E212" s="78">
        <v>262.57</v>
      </c>
      <c r="F212" s="78">
        <v>262.57</v>
      </c>
      <c r="G212" s="78">
        <v>525.15</v>
      </c>
      <c r="H212" s="78">
        <v>787.72</v>
      </c>
    </row>
    <row r="213" spans="2:8" x14ac:dyDescent="0.25">
      <c r="B213" s="185"/>
      <c r="C213" s="188"/>
      <c r="D213" s="76" t="s">
        <v>16</v>
      </c>
      <c r="E213" s="78">
        <v>267.82</v>
      </c>
      <c r="F213" s="78">
        <v>267.82</v>
      </c>
      <c r="G213" s="78">
        <v>535.64</v>
      </c>
      <c r="H213" s="78">
        <v>803.45</v>
      </c>
    </row>
    <row r="214" spans="2:8" x14ac:dyDescent="0.25">
      <c r="B214" s="185"/>
      <c r="C214" s="188"/>
      <c r="D214" s="76" t="s">
        <v>17</v>
      </c>
      <c r="E214" s="78">
        <v>273.18</v>
      </c>
      <c r="F214" s="78">
        <v>273.18</v>
      </c>
      <c r="G214" s="78">
        <v>546.36</v>
      </c>
      <c r="H214" s="78">
        <v>819.54</v>
      </c>
    </row>
    <row r="215" spans="2:8" x14ac:dyDescent="0.25">
      <c r="B215" s="186"/>
      <c r="C215" s="189"/>
      <c r="D215" s="76" t="s">
        <v>18</v>
      </c>
      <c r="E215" s="78">
        <v>278.64</v>
      </c>
      <c r="F215" s="78">
        <v>278.64</v>
      </c>
      <c r="G215" s="78">
        <v>557.28</v>
      </c>
      <c r="H215" s="78">
        <v>835.92</v>
      </c>
    </row>
    <row r="216" spans="2:8" x14ac:dyDescent="0.25">
      <c r="B216" s="232"/>
      <c r="C216" s="187"/>
      <c r="D216" s="76" t="s">
        <v>19</v>
      </c>
      <c r="E216" s="78">
        <v>284.20999999999998</v>
      </c>
      <c r="F216" s="78">
        <v>284.20999999999998</v>
      </c>
      <c r="G216" s="78">
        <v>568.41999999999996</v>
      </c>
      <c r="H216" s="78">
        <v>852.64</v>
      </c>
    </row>
    <row r="217" spans="2:8" x14ac:dyDescent="0.25">
      <c r="B217" s="233"/>
      <c r="C217" s="189"/>
      <c r="D217" s="76" t="s">
        <v>20</v>
      </c>
      <c r="E217" s="78">
        <v>289.89</v>
      </c>
      <c r="F217" s="78">
        <v>289.95</v>
      </c>
      <c r="G217" s="78">
        <v>579.79</v>
      </c>
      <c r="H217" s="78">
        <v>869.69</v>
      </c>
    </row>
    <row r="219" spans="2:8" x14ac:dyDescent="0.25">
      <c r="B219" s="180" t="s">
        <v>115</v>
      </c>
      <c r="C219" s="181" t="s">
        <v>116</v>
      </c>
      <c r="D219" s="181" t="s">
        <v>117</v>
      </c>
      <c r="E219" s="182" t="s">
        <v>106</v>
      </c>
      <c r="F219" s="182"/>
      <c r="G219" s="182"/>
      <c r="H219" s="182"/>
    </row>
    <row r="220" spans="2:8" ht="45" x14ac:dyDescent="0.25">
      <c r="B220" s="180"/>
      <c r="C220" s="181"/>
      <c r="D220" s="181"/>
      <c r="E220" s="58" t="s">
        <v>118</v>
      </c>
      <c r="F220" s="58" t="s">
        <v>107</v>
      </c>
      <c r="G220" s="58" t="s">
        <v>108</v>
      </c>
      <c r="H220" s="58" t="s">
        <v>109</v>
      </c>
    </row>
    <row r="221" spans="2:8" x14ac:dyDescent="0.25">
      <c r="B221" s="183" t="s">
        <v>138</v>
      </c>
      <c r="C221" s="179" t="s">
        <v>14</v>
      </c>
      <c r="D221" s="76" t="s">
        <v>15</v>
      </c>
      <c r="E221" s="78">
        <v>141.1</v>
      </c>
      <c r="F221" s="78">
        <v>141.1</v>
      </c>
      <c r="G221" s="78">
        <v>282.19</v>
      </c>
      <c r="H221" s="78">
        <v>423.29</v>
      </c>
    </row>
    <row r="222" spans="2:8" x14ac:dyDescent="0.25">
      <c r="B222" s="183"/>
      <c r="C222" s="179"/>
      <c r="D222" s="76" t="s">
        <v>16</v>
      </c>
      <c r="E222" s="78">
        <v>143.91999999999999</v>
      </c>
      <c r="F222" s="78">
        <v>143.91999999999999</v>
      </c>
      <c r="G222" s="78">
        <v>287.83999999999997</v>
      </c>
      <c r="H222" s="78">
        <v>431.75</v>
      </c>
    </row>
    <row r="223" spans="2:8" x14ac:dyDescent="0.25">
      <c r="B223" s="183"/>
      <c r="C223" s="179"/>
      <c r="D223" s="76" t="s">
        <v>17</v>
      </c>
      <c r="E223" s="78">
        <v>146.79</v>
      </c>
      <c r="F223" s="78">
        <v>146.79</v>
      </c>
      <c r="G223" s="78">
        <v>293.58999999999997</v>
      </c>
      <c r="H223" s="78">
        <v>440.38</v>
      </c>
    </row>
    <row r="224" spans="2:8" x14ac:dyDescent="0.25">
      <c r="B224" s="183"/>
      <c r="C224" s="179"/>
      <c r="D224" s="76" t="s">
        <v>18</v>
      </c>
      <c r="E224" s="78">
        <v>149.72999999999999</v>
      </c>
      <c r="F224" s="78">
        <v>149.72999999999999</v>
      </c>
      <c r="G224" s="78">
        <v>299.45</v>
      </c>
      <c r="H224" s="78">
        <v>449.18</v>
      </c>
    </row>
    <row r="225" spans="2:8" x14ac:dyDescent="0.25">
      <c r="B225" s="183"/>
      <c r="C225" s="179"/>
      <c r="D225" s="76" t="s">
        <v>19</v>
      </c>
      <c r="E225" s="78">
        <v>152.72</v>
      </c>
      <c r="F225" s="78">
        <v>152.72</v>
      </c>
      <c r="G225" s="78">
        <v>305.44</v>
      </c>
      <c r="H225" s="78">
        <v>458.17</v>
      </c>
    </row>
    <row r="226" spans="2:8" x14ac:dyDescent="0.25">
      <c r="B226" s="183"/>
      <c r="C226" s="179"/>
      <c r="D226" s="76" t="s">
        <v>20</v>
      </c>
      <c r="E226" s="78">
        <v>155.78</v>
      </c>
      <c r="F226" s="78">
        <v>155.78</v>
      </c>
      <c r="G226" s="78">
        <v>311.57</v>
      </c>
      <c r="H226" s="78">
        <v>467.35</v>
      </c>
    </row>
    <row r="227" spans="2:8" x14ac:dyDescent="0.25">
      <c r="B227" s="183"/>
      <c r="C227" s="179" t="s">
        <v>21</v>
      </c>
      <c r="D227" s="76" t="s">
        <v>15</v>
      </c>
      <c r="E227" s="78">
        <v>158.88999999999999</v>
      </c>
      <c r="F227" s="78">
        <v>158.88999999999999</v>
      </c>
      <c r="G227" s="78">
        <v>317.77999999999997</v>
      </c>
      <c r="H227" s="78">
        <v>476.67</v>
      </c>
    </row>
    <row r="228" spans="2:8" x14ac:dyDescent="0.25">
      <c r="B228" s="183"/>
      <c r="C228" s="179"/>
      <c r="D228" s="76" t="s">
        <v>16</v>
      </c>
      <c r="E228" s="78">
        <v>162.07</v>
      </c>
      <c r="F228" s="78">
        <v>162.07</v>
      </c>
      <c r="G228" s="78">
        <v>324.14</v>
      </c>
      <c r="H228" s="78">
        <v>486.21</v>
      </c>
    </row>
    <row r="229" spans="2:8" x14ac:dyDescent="0.25">
      <c r="B229" s="183"/>
      <c r="C229" s="179"/>
      <c r="D229" s="76" t="s">
        <v>17</v>
      </c>
      <c r="E229" s="78">
        <v>165.32</v>
      </c>
      <c r="F229" s="78">
        <v>165.32</v>
      </c>
      <c r="G229" s="78">
        <v>330.63</v>
      </c>
      <c r="H229" s="78">
        <v>495.95</v>
      </c>
    </row>
    <row r="230" spans="2:8" x14ac:dyDescent="0.25">
      <c r="B230" s="183"/>
      <c r="C230" s="179"/>
      <c r="D230" s="76" t="s">
        <v>18</v>
      </c>
      <c r="E230" s="78">
        <v>168.62</v>
      </c>
      <c r="F230" s="78">
        <v>168.62</v>
      </c>
      <c r="G230" s="78">
        <v>337.23</v>
      </c>
      <c r="H230" s="78">
        <v>505.85</v>
      </c>
    </row>
    <row r="231" spans="2:8" x14ac:dyDescent="0.25">
      <c r="B231" s="183"/>
      <c r="C231" s="179"/>
      <c r="D231" s="76" t="s">
        <v>19</v>
      </c>
      <c r="E231" s="78">
        <v>171.99</v>
      </c>
      <c r="F231" s="78">
        <v>171.99</v>
      </c>
      <c r="G231" s="78">
        <v>343.98</v>
      </c>
      <c r="H231" s="78">
        <v>515.97</v>
      </c>
    </row>
    <row r="232" spans="2:8" x14ac:dyDescent="0.25">
      <c r="B232" s="183"/>
      <c r="C232" s="179"/>
      <c r="D232" s="76" t="s">
        <v>20</v>
      </c>
      <c r="E232" s="78">
        <v>175.43</v>
      </c>
      <c r="F232" s="78">
        <v>175.43</v>
      </c>
      <c r="G232" s="78">
        <v>350.87</v>
      </c>
      <c r="H232" s="78">
        <v>526.29999999999995</v>
      </c>
    </row>
    <row r="233" spans="2:8" x14ac:dyDescent="0.25">
      <c r="B233" s="183"/>
      <c r="C233" s="179" t="s">
        <v>112</v>
      </c>
      <c r="D233" s="76" t="s">
        <v>15</v>
      </c>
      <c r="E233" s="78">
        <v>178.94</v>
      </c>
      <c r="F233" s="78">
        <v>178.94</v>
      </c>
      <c r="G233" s="78">
        <v>357.88</v>
      </c>
      <c r="H233" s="78">
        <v>536.82000000000005</v>
      </c>
    </row>
    <row r="234" spans="2:8" x14ac:dyDescent="0.25">
      <c r="B234" s="183"/>
      <c r="C234" s="179"/>
      <c r="D234" s="76" t="s">
        <v>16</v>
      </c>
      <c r="E234" s="78">
        <v>182.52</v>
      </c>
      <c r="F234" s="78">
        <v>182.52</v>
      </c>
      <c r="G234" s="78">
        <v>365.04</v>
      </c>
      <c r="H234" s="78">
        <v>547.57000000000005</v>
      </c>
    </row>
    <row r="235" spans="2:8" x14ac:dyDescent="0.25">
      <c r="B235" s="183"/>
      <c r="C235" s="179"/>
      <c r="D235" s="76" t="s">
        <v>17</v>
      </c>
      <c r="E235" s="78">
        <v>186.17</v>
      </c>
      <c r="F235" s="78">
        <v>186.17</v>
      </c>
      <c r="G235" s="78">
        <v>372.34</v>
      </c>
      <c r="H235" s="78">
        <v>558.51</v>
      </c>
    </row>
    <row r="236" spans="2:8" x14ac:dyDescent="0.25">
      <c r="B236" s="183"/>
      <c r="C236" s="179"/>
      <c r="D236" s="76" t="s">
        <v>18</v>
      </c>
      <c r="E236" s="78">
        <v>189.89</v>
      </c>
      <c r="F236" s="78">
        <v>189.89</v>
      </c>
      <c r="G236" s="78">
        <v>379.79</v>
      </c>
      <c r="H236" s="78">
        <v>569.67999999999995</v>
      </c>
    </row>
    <row r="237" spans="2:8" x14ac:dyDescent="0.25">
      <c r="B237" s="183"/>
      <c r="C237" s="179"/>
      <c r="D237" s="76" t="s">
        <v>19</v>
      </c>
      <c r="E237" s="78">
        <v>193.68</v>
      </c>
      <c r="F237" s="78">
        <v>193.68</v>
      </c>
      <c r="G237" s="78">
        <v>387.37</v>
      </c>
      <c r="H237" s="78">
        <v>581.07000000000005</v>
      </c>
    </row>
    <row r="238" spans="2:8" x14ac:dyDescent="0.25">
      <c r="B238" s="183"/>
      <c r="C238" s="179"/>
      <c r="D238" s="76" t="s">
        <v>20</v>
      </c>
      <c r="E238" s="78">
        <v>197.56</v>
      </c>
      <c r="F238" s="78">
        <v>197.56</v>
      </c>
      <c r="G238" s="78">
        <v>395.13</v>
      </c>
      <c r="H238" s="78">
        <v>592.69000000000005</v>
      </c>
    </row>
    <row r="241" spans="2:8" x14ac:dyDescent="0.25">
      <c r="B241" t="s">
        <v>122</v>
      </c>
    </row>
    <row r="242" spans="2:8" x14ac:dyDescent="0.25">
      <c r="B242" s="179" t="s">
        <v>123</v>
      </c>
      <c r="C242" s="179"/>
      <c r="D242" s="179"/>
      <c r="E242" s="179"/>
      <c r="F242" s="179"/>
      <c r="G242" s="179"/>
      <c r="H242" s="179"/>
    </row>
    <row r="243" spans="2:8" x14ac:dyDescent="0.25">
      <c r="B243" s="180" t="s">
        <v>115</v>
      </c>
      <c r="C243" s="181" t="s">
        <v>116</v>
      </c>
      <c r="D243" s="181" t="s">
        <v>117</v>
      </c>
      <c r="E243" s="182" t="s">
        <v>106</v>
      </c>
      <c r="F243" s="182"/>
      <c r="G243" s="182"/>
      <c r="H243" s="182"/>
    </row>
    <row r="244" spans="2:8" ht="45" x14ac:dyDescent="0.25">
      <c r="B244" s="180"/>
      <c r="C244" s="181"/>
      <c r="D244" s="181"/>
      <c r="E244" s="58" t="s">
        <v>118</v>
      </c>
      <c r="F244" s="58" t="s">
        <v>107</v>
      </c>
      <c r="G244" s="58" t="s">
        <v>108</v>
      </c>
      <c r="H244" s="58" t="s">
        <v>109</v>
      </c>
    </row>
    <row r="245" spans="2:8" x14ac:dyDescent="0.25">
      <c r="B245" s="183" t="s">
        <v>124</v>
      </c>
      <c r="C245" s="179" t="s">
        <v>14</v>
      </c>
      <c r="D245" s="8" t="s">
        <v>15</v>
      </c>
      <c r="E245" s="78">
        <v>119.5</v>
      </c>
      <c r="F245" s="78">
        <v>119.5</v>
      </c>
      <c r="G245" s="78">
        <v>239.01</v>
      </c>
      <c r="H245" s="78">
        <v>358.51</v>
      </c>
    </row>
    <row r="246" spans="2:8" x14ac:dyDescent="0.25">
      <c r="B246" s="183"/>
      <c r="C246" s="179"/>
      <c r="D246" s="8" t="s">
        <v>16</v>
      </c>
      <c r="E246" s="78">
        <v>121.89</v>
      </c>
      <c r="F246" s="78">
        <v>121.89</v>
      </c>
      <c r="G246" s="78">
        <v>243.78</v>
      </c>
      <c r="H246" s="78">
        <v>365.67</v>
      </c>
    </row>
    <row r="247" spans="2:8" x14ac:dyDescent="0.25">
      <c r="B247" s="183"/>
      <c r="C247" s="179"/>
      <c r="D247" s="8" t="s">
        <v>17</v>
      </c>
      <c r="E247" s="78">
        <v>124.33</v>
      </c>
      <c r="F247" s="78">
        <v>124.33</v>
      </c>
      <c r="G247" s="78">
        <v>248.67</v>
      </c>
      <c r="H247" s="78">
        <v>373</v>
      </c>
    </row>
    <row r="248" spans="2:8" x14ac:dyDescent="0.25">
      <c r="B248" s="183"/>
      <c r="C248" s="179"/>
      <c r="D248" s="8" t="s">
        <v>18</v>
      </c>
      <c r="E248" s="78">
        <v>126.82</v>
      </c>
      <c r="F248" s="78">
        <v>126.82</v>
      </c>
      <c r="G248" s="78">
        <v>253.64</v>
      </c>
      <c r="H248" s="78">
        <v>380.46</v>
      </c>
    </row>
    <row r="249" spans="2:8" x14ac:dyDescent="0.25">
      <c r="B249" s="183"/>
      <c r="C249" s="179"/>
      <c r="D249" s="8" t="s">
        <v>19</v>
      </c>
      <c r="E249" s="78">
        <v>129.35</v>
      </c>
      <c r="F249" s="78">
        <v>129.35</v>
      </c>
      <c r="G249" s="78">
        <v>258.7</v>
      </c>
      <c r="H249" s="78">
        <v>388.05</v>
      </c>
    </row>
    <row r="250" spans="2:8" x14ac:dyDescent="0.25">
      <c r="B250" s="183"/>
      <c r="C250" s="179"/>
      <c r="D250" s="8" t="s">
        <v>20</v>
      </c>
      <c r="E250" s="78">
        <v>131.94</v>
      </c>
      <c r="F250" s="78">
        <v>131.94</v>
      </c>
      <c r="G250" s="78">
        <v>263.89</v>
      </c>
      <c r="H250" s="78">
        <v>395.83</v>
      </c>
    </row>
    <row r="251" spans="2:8" x14ac:dyDescent="0.25">
      <c r="B251" s="183"/>
      <c r="C251" s="183" t="s">
        <v>21</v>
      </c>
      <c r="D251" s="8" t="s">
        <v>15</v>
      </c>
      <c r="E251" s="78">
        <v>134.58000000000001</v>
      </c>
      <c r="F251" s="78">
        <v>134.58000000000001</v>
      </c>
      <c r="G251" s="78">
        <v>269.16000000000003</v>
      </c>
      <c r="H251" s="78">
        <v>403.75</v>
      </c>
    </row>
    <row r="252" spans="2:8" x14ac:dyDescent="0.25">
      <c r="B252" s="183"/>
      <c r="C252" s="183"/>
      <c r="D252" s="8" t="s">
        <v>16</v>
      </c>
      <c r="E252" s="78">
        <v>137.27000000000001</v>
      </c>
      <c r="F252" s="78">
        <v>137.27000000000001</v>
      </c>
      <c r="G252" s="78">
        <v>274.55</v>
      </c>
      <c r="H252" s="78">
        <v>411.82</v>
      </c>
    </row>
    <row r="253" spans="2:8" x14ac:dyDescent="0.25">
      <c r="B253" s="183"/>
      <c r="C253" s="183"/>
      <c r="D253" s="8" t="s">
        <v>17</v>
      </c>
      <c r="E253" s="78">
        <v>140.01</v>
      </c>
      <c r="F253" s="78">
        <v>140.01</v>
      </c>
      <c r="G253" s="78">
        <v>280.02</v>
      </c>
      <c r="H253" s="78">
        <v>420.03</v>
      </c>
    </row>
    <row r="254" spans="2:8" x14ac:dyDescent="0.25">
      <c r="B254" s="183"/>
      <c r="C254" s="183"/>
      <c r="D254" s="8" t="s">
        <v>18</v>
      </c>
      <c r="E254" s="78">
        <v>142.82</v>
      </c>
      <c r="F254" s="78">
        <v>142.82</v>
      </c>
      <c r="G254" s="78">
        <v>285.64</v>
      </c>
      <c r="H254" s="78">
        <v>428.46</v>
      </c>
    </row>
    <row r="255" spans="2:8" x14ac:dyDescent="0.25">
      <c r="B255" s="183"/>
      <c r="C255" s="183"/>
      <c r="D255" s="8" t="s">
        <v>19</v>
      </c>
      <c r="E255" s="78">
        <v>145.68</v>
      </c>
      <c r="F255" s="78">
        <v>145.68</v>
      </c>
      <c r="G255" s="78">
        <v>291.35000000000002</v>
      </c>
      <c r="H255" s="78">
        <v>437.03</v>
      </c>
    </row>
    <row r="256" spans="2:8" x14ac:dyDescent="0.25">
      <c r="B256" s="183"/>
      <c r="C256" s="183"/>
      <c r="D256" s="8" t="s">
        <v>20</v>
      </c>
      <c r="E256" s="78">
        <v>148.59</v>
      </c>
      <c r="F256" s="78">
        <v>148.59</v>
      </c>
      <c r="G256" s="78">
        <v>297.17</v>
      </c>
      <c r="H256" s="78">
        <v>445.76</v>
      </c>
    </row>
    <row r="257" spans="2:8" x14ac:dyDescent="0.25">
      <c r="B257" s="183"/>
      <c r="C257" s="179" t="s">
        <v>112</v>
      </c>
      <c r="D257" s="8" t="s">
        <v>15</v>
      </c>
      <c r="E257" s="78">
        <v>151.56</v>
      </c>
      <c r="F257" s="78">
        <v>151.56</v>
      </c>
      <c r="G257" s="78">
        <v>303.12</v>
      </c>
      <c r="H257" s="78">
        <v>454.68</v>
      </c>
    </row>
    <row r="258" spans="2:8" x14ac:dyDescent="0.25">
      <c r="B258" s="183"/>
      <c r="C258" s="179"/>
      <c r="D258" s="8" t="s">
        <v>16</v>
      </c>
      <c r="E258" s="78">
        <v>154.59</v>
      </c>
      <c r="F258" s="78">
        <v>154.59</v>
      </c>
      <c r="G258" s="78">
        <v>309.18</v>
      </c>
      <c r="H258" s="78">
        <v>463.77</v>
      </c>
    </row>
    <row r="259" spans="2:8" x14ac:dyDescent="0.25">
      <c r="B259" s="183"/>
      <c r="C259" s="179"/>
      <c r="D259" s="8" t="s">
        <v>17</v>
      </c>
      <c r="E259" s="78">
        <v>157.68</v>
      </c>
      <c r="F259" s="78">
        <v>157.68</v>
      </c>
      <c r="G259" s="93">
        <v>315.37</v>
      </c>
      <c r="H259" s="78">
        <v>473.05</v>
      </c>
    </row>
    <row r="260" spans="2:8" x14ac:dyDescent="0.25">
      <c r="B260" s="183"/>
      <c r="C260" s="179"/>
      <c r="D260" s="8" t="s">
        <v>18</v>
      </c>
      <c r="E260" s="78">
        <v>160.83000000000001</v>
      </c>
      <c r="F260" s="78">
        <v>160.83000000000001</v>
      </c>
      <c r="G260" s="93">
        <v>321.66000000000003</v>
      </c>
      <c r="H260" s="78">
        <v>482.49</v>
      </c>
    </row>
    <row r="261" spans="2:8" x14ac:dyDescent="0.25">
      <c r="B261" s="183"/>
      <c r="C261" s="179"/>
      <c r="D261" s="8" t="s">
        <v>19</v>
      </c>
      <c r="E261" s="78">
        <v>164.05</v>
      </c>
      <c r="F261" s="78">
        <v>164.05</v>
      </c>
      <c r="G261" s="78">
        <v>328.09</v>
      </c>
      <c r="H261" s="78">
        <v>492.14</v>
      </c>
    </row>
    <row r="262" spans="2:8" x14ac:dyDescent="0.25">
      <c r="B262" s="183"/>
      <c r="C262" s="179"/>
      <c r="D262" s="8" t="s">
        <v>20</v>
      </c>
      <c r="E262" s="78">
        <v>167.32</v>
      </c>
      <c r="F262" s="78">
        <v>167.32</v>
      </c>
      <c r="G262" s="78">
        <v>334.66</v>
      </c>
      <c r="H262" s="78">
        <v>501.98</v>
      </c>
    </row>
  </sheetData>
  <mergeCells count="101">
    <mergeCell ref="B245:B262"/>
    <mergeCell ref="C245:C250"/>
    <mergeCell ref="C251:C256"/>
    <mergeCell ref="C257:C262"/>
    <mergeCell ref="B242:H242"/>
    <mergeCell ref="B243:B244"/>
    <mergeCell ref="C243:C244"/>
    <mergeCell ref="D243:D244"/>
    <mergeCell ref="E243:H243"/>
    <mergeCell ref="E219:H219"/>
    <mergeCell ref="B221:B238"/>
    <mergeCell ref="C221:C226"/>
    <mergeCell ref="C227:C232"/>
    <mergeCell ref="C233:C238"/>
    <mergeCell ref="B216:B217"/>
    <mergeCell ref="C216:C217"/>
    <mergeCell ref="B219:B220"/>
    <mergeCell ref="C219:C220"/>
    <mergeCell ref="D219:D220"/>
    <mergeCell ref="D198:D199"/>
    <mergeCell ref="E198:H198"/>
    <mergeCell ref="B200:B215"/>
    <mergeCell ref="C200:C205"/>
    <mergeCell ref="C206:C211"/>
    <mergeCell ref="C212:C215"/>
    <mergeCell ref="B180:B197"/>
    <mergeCell ref="C180:C185"/>
    <mergeCell ref="C186:C191"/>
    <mergeCell ref="C192:C197"/>
    <mergeCell ref="B198:B199"/>
    <mergeCell ref="C198:C199"/>
    <mergeCell ref="B167:B172"/>
    <mergeCell ref="C167:C172"/>
    <mergeCell ref="B177:H177"/>
    <mergeCell ref="B178:B179"/>
    <mergeCell ref="C178:C179"/>
    <mergeCell ref="D178:D179"/>
    <mergeCell ref="E178:H178"/>
    <mergeCell ref="E153:G153"/>
    <mergeCell ref="B155:B160"/>
    <mergeCell ref="C155:C160"/>
    <mergeCell ref="B161:B166"/>
    <mergeCell ref="C161:C166"/>
    <mergeCell ref="B132:C132"/>
    <mergeCell ref="D132:G132"/>
    <mergeCell ref="H132:J132"/>
    <mergeCell ref="K132:N132"/>
    <mergeCell ref="B133:C133"/>
    <mergeCell ref="D133:G133"/>
    <mergeCell ref="H133:J133"/>
    <mergeCell ref="K133:N133"/>
    <mergeCell ref="B130:C130"/>
    <mergeCell ref="D130:G130"/>
    <mergeCell ref="H130:J130"/>
    <mergeCell ref="K130:N130"/>
    <mergeCell ref="B131:C131"/>
    <mergeCell ref="D131:G131"/>
    <mergeCell ref="H131:J131"/>
    <mergeCell ref="K131:N131"/>
    <mergeCell ref="K128:N128"/>
    <mergeCell ref="B129:C129"/>
    <mergeCell ref="D129:G129"/>
    <mergeCell ref="H129:J129"/>
    <mergeCell ref="K129:N129"/>
    <mergeCell ref="B127:C127"/>
    <mergeCell ref="D127:G127"/>
    <mergeCell ref="H127:J127"/>
    <mergeCell ref="K127:N127"/>
    <mergeCell ref="B65:B70"/>
    <mergeCell ref="B71:B76"/>
    <mergeCell ref="B82:F82"/>
    <mergeCell ref="B128:C128"/>
    <mergeCell ref="D128:G128"/>
    <mergeCell ref="H128:J128"/>
    <mergeCell ref="B83:C84"/>
    <mergeCell ref="D83:F83"/>
    <mergeCell ref="B86:B91"/>
    <mergeCell ref="B15:B20"/>
    <mergeCell ref="B126:C126"/>
    <mergeCell ref="D126:G126"/>
    <mergeCell ref="H126:J126"/>
    <mergeCell ref="K126:N126"/>
    <mergeCell ref="B5:I5"/>
    <mergeCell ref="B6:C7"/>
    <mergeCell ref="D6:F6"/>
    <mergeCell ref="G6:H6"/>
    <mergeCell ref="B9:B14"/>
    <mergeCell ref="B59:B64"/>
    <mergeCell ref="B21:B26"/>
    <mergeCell ref="B30:I30"/>
    <mergeCell ref="B31:C32"/>
    <mergeCell ref="F31:G31"/>
    <mergeCell ref="H31:I31"/>
    <mergeCell ref="B34:B39"/>
    <mergeCell ref="B40:B45"/>
    <mergeCell ref="B46:B51"/>
    <mergeCell ref="B55:G55"/>
    <mergeCell ref="B56:C57"/>
    <mergeCell ref="F56:G56"/>
    <mergeCell ref="B92:B97"/>
    <mergeCell ref="B98:B10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2"/>
  <sheetViews>
    <sheetView topLeftCell="A13" zoomScaleNormal="100" workbookViewId="0">
      <selection activeCell="K132" sqref="K132:N132"/>
    </sheetView>
  </sheetViews>
  <sheetFormatPr defaultRowHeight="15" x14ac:dyDescent="0.25"/>
  <cols>
    <col min="3" max="9" width="13.85546875" customWidth="1"/>
    <col min="10" max="10" width="17.140625" customWidth="1"/>
    <col min="11" max="11" width="11.140625" bestFit="1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5" spans="2:9" x14ac:dyDescent="0.25">
      <c r="B5" s="204" t="s">
        <v>3</v>
      </c>
      <c r="C5" s="204"/>
      <c r="D5" s="204"/>
      <c r="E5" s="204"/>
      <c r="F5" s="204"/>
      <c r="G5" s="204"/>
      <c r="H5" s="204"/>
      <c r="I5" s="204"/>
    </row>
    <row r="6" spans="2:9" x14ac:dyDescent="0.25">
      <c r="B6" s="183" t="s">
        <v>4</v>
      </c>
      <c r="C6" s="183"/>
      <c r="D6" s="204" t="s">
        <v>5</v>
      </c>
      <c r="E6" s="204"/>
      <c r="F6" s="204"/>
      <c r="G6" s="183" t="s">
        <v>6</v>
      </c>
      <c r="H6" s="183"/>
      <c r="I6" s="2" t="s">
        <v>7</v>
      </c>
    </row>
    <row r="7" spans="2:9" ht="45" x14ac:dyDescent="0.25">
      <c r="B7" s="183"/>
      <c r="C7" s="183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57" t="s">
        <v>11</v>
      </c>
      <c r="C8" s="57" t="s">
        <v>12</v>
      </c>
      <c r="D8" s="57" t="s">
        <v>13</v>
      </c>
      <c r="E8" s="57" t="s">
        <v>13</v>
      </c>
      <c r="F8" s="57" t="s">
        <v>13</v>
      </c>
      <c r="G8" s="57" t="s">
        <v>13</v>
      </c>
      <c r="H8" s="57" t="s">
        <v>13</v>
      </c>
      <c r="I8" s="57" t="s">
        <v>13</v>
      </c>
    </row>
    <row r="9" spans="2:9" x14ac:dyDescent="0.25">
      <c r="B9" s="181" t="s">
        <v>14</v>
      </c>
      <c r="C9" s="98" t="s">
        <v>15</v>
      </c>
      <c r="D9" s="3">
        <v>8303.34</v>
      </c>
      <c r="E9" s="3">
        <v>4226.24</v>
      </c>
      <c r="F9" s="3">
        <v>2691.46</v>
      </c>
      <c r="G9" s="3"/>
      <c r="H9" s="3"/>
      <c r="I9" s="3"/>
    </row>
    <row r="10" spans="2:9" x14ac:dyDescent="0.25">
      <c r="B10" s="181"/>
      <c r="C10" s="98" t="s">
        <v>16</v>
      </c>
      <c r="D10" s="3">
        <v>8552.44</v>
      </c>
      <c r="E10" s="3">
        <v>4353.0200000000004</v>
      </c>
      <c r="F10" s="3">
        <v>2772.2</v>
      </c>
      <c r="G10" s="3"/>
      <c r="H10" s="3"/>
      <c r="I10" s="3"/>
    </row>
    <row r="11" spans="2:9" x14ac:dyDescent="0.25">
      <c r="B11" s="181"/>
      <c r="C11" s="98" t="s">
        <v>17</v>
      </c>
      <c r="D11" s="3">
        <v>8809.01</v>
      </c>
      <c r="E11" s="3">
        <v>4483.6099999999997</v>
      </c>
      <c r="F11" s="3">
        <v>2855.36</v>
      </c>
      <c r="G11" s="3"/>
      <c r="H11" s="3"/>
      <c r="I11" s="3"/>
    </row>
    <row r="12" spans="2:9" x14ac:dyDescent="0.25">
      <c r="B12" s="181"/>
      <c r="C12" s="98" t="s">
        <v>18</v>
      </c>
      <c r="D12" s="3">
        <v>9073.2800000000007</v>
      </c>
      <c r="E12" s="3">
        <v>4618.13</v>
      </c>
      <c r="F12" s="3">
        <v>2941.02</v>
      </c>
      <c r="G12" s="3">
        <v>10434.26</v>
      </c>
      <c r="H12" s="3">
        <v>5310.84</v>
      </c>
      <c r="I12" s="3"/>
    </row>
    <row r="13" spans="2:9" x14ac:dyDescent="0.25">
      <c r="B13" s="181"/>
      <c r="C13" s="98" t="s">
        <v>19</v>
      </c>
      <c r="D13" s="3">
        <v>9345.48</v>
      </c>
      <c r="E13" s="3">
        <v>4756.67</v>
      </c>
      <c r="F13" s="3">
        <v>3029.26</v>
      </c>
      <c r="G13" s="3">
        <v>10747.3</v>
      </c>
      <c r="H13" s="3">
        <v>5470.17</v>
      </c>
      <c r="I13" s="3"/>
    </row>
    <row r="14" spans="2:9" x14ac:dyDescent="0.25">
      <c r="B14" s="181"/>
      <c r="C14" s="98" t="s">
        <v>20</v>
      </c>
      <c r="D14" s="3">
        <v>9625.84</v>
      </c>
      <c r="E14" s="3">
        <v>4899.37</v>
      </c>
      <c r="F14" s="3">
        <v>3120.13</v>
      </c>
      <c r="G14" s="3">
        <v>11069.72</v>
      </c>
      <c r="H14" s="3">
        <v>5634.28</v>
      </c>
      <c r="I14" s="2"/>
    </row>
    <row r="15" spans="2:9" x14ac:dyDescent="0.25">
      <c r="B15" s="179" t="s">
        <v>21</v>
      </c>
      <c r="C15" s="98" t="s">
        <v>15</v>
      </c>
      <c r="D15" s="3">
        <v>10107.14</v>
      </c>
      <c r="E15" s="3">
        <v>5144.33</v>
      </c>
      <c r="F15" s="3">
        <v>3276.13</v>
      </c>
      <c r="G15" s="3">
        <v>11623.21</v>
      </c>
      <c r="H15" s="3">
        <v>5915.99</v>
      </c>
      <c r="I15" s="2"/>
    </row>
    <row r="16" spans="2:9" x14ac:dyDescent="0.25">
      <c r="B16" s="179"/>
      <c r="C16" s="98" t="s">
        <v>16</v>
      </c>
      <c r="D16" s="3">
        <v>10410.36</v>
      </c>
      <c r="E16" s="3">
        <v>5298.66</v>
      </c>
      <c r="F16" s="3">
        <v>3374.42</v>
      </c>
      <c r="G16" s="3">
        <v>11971.91</v>
      </c>
      <c r="H16" s="3">
        <v>6093.47</v>
      </c>
      <c r="I16" s="2"/>
    </row>
    <row r="17" spans="2:9" x14ac:dyDescent="0.25">
      <c r="B17" s="179"/>
      <c r="C17" s="98" t="s">
        <v>17</v>
      </c>
      <c r="D17" s="3">
        <v>10722.67</v>
      </c>
      <c r="E17" s="3">
        <v>5457.63</v>
      </c>
      <c r="F17" s="3">
        <v>3475.64</v>
      </c>
      <c r="G17" s="3">
        <v>12331.07</v>
      </c>
      <c r="H17" s="3">
        <v>6276.28</v>
      </c>
      <c r="I17" s="2"/>
    </row>
    <row r="18" spans="2:9" x14ac:dyDescent="0.25">
      <c r="B18" s="179"/>
      <c r="C18" s="98" t="s">
        <v>18</v>
      </c>
      <c r="D18" s="3">
        <v>11044.35</v>
      </c>
      <c r="E18" s="3">
        <v>5621.35</v>
      </c>
      <c r="F18" s="3">
        <v>3579.91</v>
      </c>
      <c r="G18" s="3">
        <v>12701</v>
      </c>
      <c r="H18" s="3">
        <v>6464.57</v>
      </c>
      <c r="I18" s="3">
        <v>14606.15</v>
      </c>
    </row>
    <row r="19" spans="2:9" x14ac:dyDescent="0.25">
      <c r="B19" s="179"/>
      <c r="C19" s="98" t="s">
        <v>19</v>
      </c>
      <c r="D19" s="3">
        <v>11375.68</v>
      </c>
      <c r="E19" s="3">
        <v>5789.99</v>
      </c>
      <c r="F19" s="3">
        <v>3687.31</v>
      </c>
      <c r="G19" s="3">
        <v>13082.04</v>
      </c>
      <c r="H19" s="3">
        <v>6658.5</v>
      </c>
      <c r="I19" s="3">
        <v>15044.33</v>
      </c>
    </row>
    <row r="20" spans="2:9" x14ac:dyDescent="0.25">
      <c r="B20" s="179"/>
      <c r="C20" s="98" t="s">
        <v>20</v>
      </c>
      <c r="D20" s="3">
        <v>11716.95</v>
      </c>
      <c r="E20" s="3">
        <v>5963.69</v>
      </c>
      <c r="F20" s="3">
        <v>3797.93</v>
      </c>
      <c r="G20" s="3">
        <v>13474.5</v>
      </c>
      <c r="H20" s="3">
        <v>6858.26</v>
      </c>
      <c r="I20" s="3">
        <v>15495.67</v>
      </c>
    </row>
    <row r="21" spans="2:9" x14ac:dyDescent="0.25">
      <c r="B21" s="179" t="s">
        <v>22</v>
      </c>
      <c r="C21" s="98" t="s">
        <v>15</v>
      </c>
      <c r="D21" s="3">
        <v>12302.8</v>
      </c>
      <c r="E21" s="3">
        <v>6261.87</v>
      </c>
      <c r="F21" s="3">
        <v>3987.83</v>
      </c>
      <c r="G21" s="3">
        <v>14148.23</v>
      </c>
      <c r="H21" s="3">
        <v>7201.17</v>
      </c>
      <c r="I21" s="3">
        <v>16270.45</v>
      </c>
    </row>
    <row r="22" spans="2:9" x14ac:dyDescent="0.25">
      <c r="B22" s="179"/>
      <c r="C22" s="98" t="s">
        <v>16</v>
      </c>
      <c r="D22" s="3">
        <v>12671.88</v>
      </c>
      <c r="E22" s="3">
        <v>6449.74</v>
      </c>
      <c r="F22" s="3">
        <v>4107.46</v>
      </c>
      <c r="G22" s="3">
        <v>14572.67</v>
      </c>
      <c r="H22" s="3">
        <v>7417.22</v>
      </c>
      <c r="I22" s="3">
        <v>16758.560000000001</v>
      </c>
    </row>
    <row r="23" spans="2:9" x14ac:dyDescent="0.25">
      <c r="B23" s="179"/>
      <c r="C23" s="98" t="s">
        <v>17</v>
      </c>
      <c r="D23" s="3">
        <v>13052.04</v>
      </c>
      <c r="E23" s="3">
        <v>6643.23</v>
      </c>
      <c r="F23" s="3">
        <v>4230.68</v>
      </c>
      <c r="G23" s="3">
        <v>15009.86</v>
      </c>
      <c r="H23" s="3">
        <v>7639.72</v>
      </c>
      <c r="I23" s="3">
        <v>17261.330000000002</v>
      </c>
    </row>
    <row r="24" spans="2:9" x14ac:dyDescent="0.25">
      <c r="B24" s="179"/>
      <c r="C24" s="98" t="s">
        <v>18</v>
      </c>
      <c r="D24" s="3">
        <v>13443.61</v>
      </c>
      <c r="E24" s="3">
        <v>6842.53</v>
      </c>
      <c r="F24" s="3">
        <v>4357.6000000000004</v>
      </c>
      <c r="G24" s="3">
        <v>15460.15</v>
      </c>
      <c r="H24" s="3">
        <v>7868.93</v>
      </c>
      <c r="I24" s="3">
        <v>17779.169999999998</v>
      </c>
    </row>
    <row r="25" spans="2:9" x14ac:dyDescent="0.25">
      <c r="B25" s="179"/>
      <c r="C25" s="98" t="s">
        <v>19</v>
      </c>
      <c r="D25" s="3">
        <v>13846.91</v>
      </c>
      <c r="E25" s="3">
        <v>7047.79</v>
      </c>
      <c r="F25" s="3">
        <v>4488.34</v>
      </c>
      <c r="G25" s="3">
        <v>15923.94</v>
      </c>
      <c r="H25" s="3">
        <v>8105</v>
      </c>
      <c r="I25" s="3">
        <v>18312.54</v>
      </c>
    </row>
    <row r="26" spans="2:9" x14ac:dyDescent="0.25">
      <c r="B26" s="179"/>
      <c r="C26" s="98" t="s">
        <v>20</v>
      </c>
      <c r="D26" s="3">
        <v>14262.32</v>
      </c>
      <c r="E26" s="3">
        <v>7259.23</v>
      </c>
      <c r="F26" s="3">
        <v>4623</v>
      </c>
      <c r="G26" s="3">
        <v>16401.66</v>
      </c>
      <c r="H26" s="3">
        <v>8348.15</v>
      </c>
      <c r="I26" s="3">
        <v>18861.900000000001</v>
      </c>
    </row>
    <row r="28" spans="2:9" x14ac:dyDescent="0.25">
      <c r="B28" t="s">
        <v>23</v>
      </c>
    </row>
    <row r="30" spans="2:9" x14ac:dyDescent="0.25">
      <c r="B30" s="204" t="s">
        <v>3</v>
      </c>
      <c r="C30" s="204"/>
      <c r="D30" s="204"/>
      <c r="E30" s="204"/>
      <c r="F30" s="204"/>
      <c r="G30" s="204"/>
      <c r="H30" s="204"/>
      <c r="I30" s="204"/>
    </row>
    <row r="31" spans="2:9" x14ac:dyDescent="0.25">
      <c r="B31" s="183" t="s">
        <v>4</v>
      </c>
      <c r="C31" s="183"/>
      <c r="D31" s="2" t="s">
        <v>5</v>
      </c>
      <c r="E31" s="2"/>
      <c r="F31" s="183" t="s">
        <v>6</v>
      </c>
      <c r="G31" s="183"/>
      <c r="H31" s="204" t="s">
        <v>7</v>
      </c>
      <c r="I31" s="204"/>
    </row>
    <row r="32" spans="2:9" ht="60" x14ac:dyDescent="0.25">
      <c r="B32" s="183"/>
      <c r="C32" s="183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30" x14ac:dyDescent="0.25">
      <c r="B33" s="57" t="s">
        <v>11</v>
      </c>
      <c r="C33" s="57" t="s">
        <v>12</v>
      </c>
      <c r="D33" s="57" t="s">
        <v>13</v>
      </c>
      <c r="E33" s="57" t="s">
        <v>13</v>
      </c>
      <c r="F33" s="57" t="s">
        <v>13</v>
      </c>
      <c r="G33" s="57" t="s">
        <v>13</v>
      </c>
      <c r="H33" s="57" t="s">
        <v>13</v>
      </c>
      <c r="I33" s="57" t="s">
        <v>13</v>
      </c>
    </row>
    <row r="34" spans="2:9" x14ac:dyDescent="0.25">
      <c r="B34" s="181" t="s">
        <v>14</v>
      </c>
      <c r="C34" s="98" t="s">
        <v>15</v>
      </c>
      <c r="D34" s="3">
        <v>8303.34</v>
      </c>
      <c r="E34" s="3">
        <v>8303.34</v>
      </c>
      <c r="F34" s="3"/>
      <c r="G34" s="3"/>
      <c r="H34" s="3"/>
      <c r="I34" s="2"/>
    </row>
    <row r="35" spans="2:9" x14ac:dyDescent="0.25">
      <c r="B35" s="181"/>
      <c r="C35" s="98" t="s">
        <v>16</v>
      </c>
      <c r="D35" s="3">
        <v>8552.44</v>
      </c>
      <c r="E35" s="3">
        <v>8552.44</v>
      </c>
      <c r="F35" s="3"/>
      <c r="G35" s="3"/>
      <c r="H35" s="3"/>
      <c r="I35" s="2"/>
    </row>
    <row r="36" spans="2:9" x14ac:dyDescent="0.25">
      <c r="B36" s="181"/>
      <c r="C36" s="98" t="s">
        <v>17</v>
      </c>
      <c r="D36" s="3">
        <v>8809.01</v>
      </c>
      <c r="E36" s="3">
        <v>8809.01</v>
      </c>
      <c r="F36" s="3"/>
      <c r="G36" s="3"/>
      <c r="H36" s="3"/>
      <c r="I36" s="2"/>
    </row>
    <row r="37" spans="2:9" x14ac:dyDescent="0.25">
      <c r="B37" s="181"/>
      <c r="C37" s="98" t="s">
        <v>18</v>
      </c>
      <c r="D37" s="3">
        <v>9073.2800000000007</v>
      </c>
      <c r="E37" s="3">
        <v>9073.2800000000007</v>
      </c>
      <c r="F37" s="3">
        <v>10434.26</v>
      </c>
      <c r="G37" s="3">
        <v>10434.26</v>
      </c>
      <c r="H37" s="3"/>
      <c r="I37" s="2"/>
    </row>
    <row r="38" spans="2:9" x14ac:dyDescent="0.25">
      <c r="B38" s="181"/>
      <c r="C38" s="98" t="s">
        <v>19</v>
      </c>
      <c r="D38" s="3">
        <v>9345.48</v>
      </c>
      <c r="E38" s="3">
        <v>9345.48</v>
      </c>
      <c r="F38" s="3">
        <v>10747.3</v>
      </c>
      <c r="G38" s="3">
        <v>10747.3</v>
      </c>
      <c r="H38" s="3"/>
      <c r="I38" s="2"/>
    </row>
    <row r="39" spans="2:9" x14ac:dyDescent="0.25">
      <c r="B39" s="181"/>
      <c r="C39" s="98" t="s">
        <v>20</v>
      </c>
      <c r="D39" s="3">
        <v>9625.84</v>
      </c>
      <c r="E39" s="3">
        <v>9625.84</v>
      </c>
      <c r="F39" s="3">
        <v>11069.72</v>
      </c>
      <c r="G39" s="3">
        <v>11069.72</v>
      </c>
      <c r="H39" s="2"/>
      <c r="I39" s="2"/>
    </row>
    <row r="40" spans="2:9" x14ac:dyDescent="0.25">
      <c r="B40" s="179" t="s">
        <v>21</v>
      </c>
      <c r="C40" s="98" t="s">
        <v>15</v>
      </c>
      <c r="D40" s="3">
        <v>10107.14</v>
      </c>
      <c r="E40" s="3">
        <v>10107.14</v>
      </c>
      <c r="F40" s="3">
        <v>11623.21</v>
      </c>
      <c r="G40" s="3">
        <v>11623.21</v>
      </c>
      <c r="H40" s="2"/>
      <c r="I40" s="2"/>
    </row>
    <row r="41" spans="2:9" x14ac:dyDescent="0.25">
      <c r="B41" s="179"/>
      <c r="C41" s="98" t="s">
        <v>16</v>
      </c>
      <c r="D41" s="3">
        <v>10410.36</v>
      </c>
      <c r="E41" s="3">
        <v>10410.36</v>
      </c>
      <c r="F41" s="3">
        <v>11971.91</v>
      </c>
      <c r="G41" s="3">
        <v>11971.91</v>
      </c>
      <c r="H41" s="2"/>
      <c r="I41" s="2"/>
    </row>
    <row r="42" spans="2:9" x14ac:dyDescent="0.25">
      <c r="B42" s="179"/>
      <c r="C42" s="98" t="s">
        <v>17</v>
      </c>
      <c r="D42" s="3">
        <v>10722.67</v>
      </c>
      <c r="E42" s="3">
        <v>10722.67</v>
      </c>
      <c r="F42" s="3">
        <v>12331.07</v>
      </c>
      <c r="G42" s="3">
        <v>12331.07</v>
      </c>
      <c r="H42" s="2"/>
      <c r="I42" s="2"/>
    </row>
    <row r="43" spans="2:9" x14ac:dyDescent="0.25">
      <c r="B43" s="179"/>
      <c r="C43" s="98" t="s">
        <v>18</v>
      </c>
      <c r="D43" s="3">
        <v>11044.35</v>
      </c>
      <c r="E43" s="3">
        <v>11044.35</v>
      </c>
      <c r="F43" s="3">
        <v>12701</v>
      </c>
      <c r="G43" s="3">
        <v>12701</v>
      </c>
      <c r="H43" s="3">
        <v>14606.15</v>
      </c>
      <c r="I43" s="3">
        <v>14606.15</v>
      </c>
    </row>
    <row r="44" spans="2:9" x14ac:dyDescent="0.25">
      <c r="B44" s="179"/>
      <c r="C44" s="98" t="s">
        <v>19</v>
      </c>
      <c r="D44" s="3">
        <v>11375.68</v>
      </c>
      <c r="E44" s="3">
        <v>11375.68</v>
      </c>
      <c r="F44" s="3">
        <v>13082.04</v>
      </c>
      <c r="G44" s="3">
        <v>13082.04</v>
      </c>
      <c r="H44" s="3">
        <v>15044.33</v>
      </c>
      <c r="I44" s="3">
        <v>15044.33</v>
      </c>
    </row>
    <row r="45" spans="2:9" x14ac:dyDescent="0.25">
      <c r="B45" s="179"/>
      <c r="C45" s="98" t="s">
        <v>20</v>
      </c>
      <c r="D45" s="3">
        <v>11716.95</v>
      </c>
      <c r="E45" s="3">
        <v>11716.95</v>
      </c>
      <c r="F45" s="3">
        <v>13474.5</v>
      </c>
      <c r="G45" s="3">
        <v>13474.5</v>
      </c>
      <c r="H45" s="3">
        <v>15495.67</v>
      </c>
      <c r="I45" s="3">
        <v>15495.67</v>
      </c>
    </row>
    <row r="46" spans="2:9" x14ac:dyDescent="0.25">
      <c r="B46" s="179" t="s">
        <v>22</v>
      </c>
      <c r="C46" s="98" t="s">
        <v>15</v>
      </c>
      <c r="D46" s="3">
        <v>12302.8</v>
      </c>
      <c r="E46" s="3">
        <v>12302.8</v>
      </c>
      <c r="F46" s="3">
        <v>14148.23</v>
      </c>
      <c r="G46" s="3">
        <v>14148.23</v>
      </c>
      <c r="H46" s="3">
        <v>16270.45</v>
      </c>
      <c r="I46" s="3">
        <v>16270.45</v>
      </c>
    </row>
    <row r="47" spans="2:9" x14ac:dyDescent="0.25">
      <c r="B47" s="179"/>
      <c r="C47" s="98" t="s">
        <v>16</v>
      </c>
      <c r="D47" s="3">
        <v>12671.88</v>
      </c>
      <c r="E47" s="3">
        <v>12671.88</v>
      </c>
      <c r="F47" s="3">
        <v>14572.67</v>
      </c>
      <c r="G47" s="3">
        <v>14572.67</v>
      </c>
      <c r="H47" s="3">
        <v>16758.560000000001</v>
      </c>
      <c r="I47" s="3">
        <v>16758.560000000001</v>
      </c>
    </row>
    <row r="48" spans="2:9" x14ac:dyDescent="0.25">
      <c r="B48" s="179"/>
      <c r="C48" s="98" t="s">
        <v>17</v>
      </c>
      <c r="D48" s="3">
        <v>13052.04</v>
      </c>
      <c r="E48" s="3">
        <v>13052.04</v>
      </c>
      <c r="F48" s="3">
        <v>15009.86</v>
      </c>
      <c r="G48" s="3">
        <v>15009.86</v>
      </c>
      <c r="H48" s="3">
        <v>17261.330000000002</v>
      </c>
      <c r="I48" s="3">
        <v>17261.330000000002</v>
      </c>
    </row>
    <row r="49" spans="2:9" x14ac:dyDescent="0.25">
      <c r="B49" s="179"/>
      <c r="C49" s="98" t="s">
        <v>18</v>
      </c>
      <c r="D49" s="3">
        <v>13443.61</v>
      </c>
      <c r="E49" s="3">
        <v>13443.61</v>
      </c>
      <c r="F49" s="3">
        <v>15460.15</v>
      </c>
      <c r="G49" s="3">
        <v>15460.15</v>
      </c>
      <c r="H49" s="3">
        <v>17779.169999999998</v>
      </c>
      <c r="I49" s="3">
        <v>17779.169999999998</v>
      </c>
    </row>
    <row r="50" spans="2:9" x14ac:dyDescent="0.25">
      <c r="B50" s="179"/>
      <c r="C50" s="98" t="s">
        <v>19</v>
      </c>
      <c r="D50" s="3">
        <v>13846.91</v>
      </c>
      <c r="E50" s="3">
        <v>13846.91</v>
      </c>
      <c r="F50" s="3">
        <v>15923.94</v>
      </c>
      <c r="G50" s="3">
        <v>15923.94</v>
      </c>
      <c r="H50" s="3">
        <v>18312.54</v>
      </c>
      <c r="I50" s="3">
        <v>18312.54</v>
      </c>
    </row>
    <row r="51" spans="2:9" x14ac:dyDescent="0.25">
      <c r="B51" s="179"/>
      <c r="C51" s="98" t="s">
        <v>20</v>
      </c>
      <c r="D51" s="3">
        <v>14262.32</v>
      </c>
      <c r="E51" s="3">
        <v>14262.32</v>
      </c>
      <c r="F51" s="3">
        <v>16401.66</v>
      </c>
      <c r="G51" s="3">
        <v>16401.66</v>
      </c>
      <c r="H51" s="3">
        <v>18861.900000000001</v>
      </c>
      <c r="I51" s="3">
        <v>18861.900000000001</v>
      </c>
    </row>
    <row r="53" spans="2:9" x14ac:dyDescent="0.25">
      <c r="B53" t="s">
        <v>26</v>
      </c>
    </row>
    <row r="55" spans="2:9" x14ac:dyDescent="0.25">
      <c r="B55" s="204" t="s">
        <v>3</v>
      </c>
      <c r="C55" s="204"/>
      <c r="D55" s="204"/>
      <c r="E55" s="204"/>
      <c r="F55" s="204"/>
      <c r="G55" s="204"/>
    </row>
    <row r="56" spans="2:9" ht="45" customHeight="1" x14ac:dyDescent="0.25">
      <c r="B56" s="206" t="s">
        <v>4</v>
      </c>
      <c r="C56" s="207"/>
      <c r="D56" s="2" t="s">
        <v>5</v>
      </c>
      <c r="E56" s="2"/>
      <c r="F56" s="183" t="s">
        <v>6</v>
      </c>
      <c r="G56" s="183"/>
    </row>
    <row r="57" spans="2:9" ht="45" x14ac:dyDescent="0.25">
      <c r="B57" s="208"/>
      <c r="C57" s="209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30" x14ac:dyDescent="0.25">
      <c r="B58" s="57" t="s">
        <v>11</v>
      </c>
      <c r="C58" s="57" t="s">
        <v>12</v>
      </c>
      <c r="D58" s="57" t="s">
        <v>13</v>
      </c>
      <c r="E58" s="57" t="s">
        <v>13</v>
      </c>
      <c r="F58" s="57" t="s">
        <v>13</v>
      </c>
      <c r="G58" s="57" t="s">
        <v>13</v>
      </c>
    </row>
    <row r="59" spans="2:9" x14ac:dyDescent="0.25">
      <c r="B59" s="181" t="s">
        <v>14</v>
      </c>
      <c r="C59" s="60" t="s">
        <v>15</v>
      </c>
      <c r="D59" s="61">
        <v>4662.8900000000003</v>
      </c>
      <c r="E59" s="61">
        <v>4226.25</v>
      </c>
      <c r="F59" s="62"/>
      <c r="G59" s="2"/>
    </row>
    <row r="60" spans="2:9" x14ac:dyDescent="0.25">
      <c r="B60" s="181"/>
      <c r="C60" s="63" t="s">
        <v>16</v>
      </c>
      <c r="D60" s="64">
        <v>4802.7700000000004</v>
      </c>
      <c r="E60" s="64">
        <v>4353.03</v>
      </c>
      <c r="F60" s="62"/>
      <c r="G60" s="2"/>
    </row>
    <row r="61" spans="2:9" x14ac:dyDescent="0.25">
      <c r="B61" s="181"/>
      <c r="C61" s="63" t="s">
        <v>17</v>
      </c>
      <c r="D61" s="64">
        <v>4946.8599999999997</v>
      </c>
      <c r="E61" s="64">
        <v>4483.62</v>
      </c>
      <c r="F61" s="62"/>
      <c r="G61" s="2"/>
    </row>
    <row r="62" spans="2:9" x14ac:dyDescent="0.25">
      <c r="B62" s="181"/>
      <c r="C62" s="63" t="s">
        <v>18</v>
      </c>
      <c r="D62" s="64">
        <v>5095.26</v>
      </c>
      <c r="E62" s="64">
        <v>4618.13</v>
      </c>
      <c r="F62" s="64">
        <v>5859.55</v>
      </c>
      <c r="G62" s="3">
        <v>5310.84</v>
      </c>
    </row>
    <row r="63" spans="2:9" x14ac:dyDescent="0.25">
      <c r="B63" s="181"/>
      <c r="C63" s="63" t="s">
        <v>19</v>
      </c>
      <c r="D63" s="64">
        <v>5248.12</v>
      </c>
      <c r="E63" s="64">
        <v>4756.67</v>
      </c>
      <c r="F63" s="64">
        <v>6035.33</v>
      </c>
      <c r="G63" s="3">
        <v>5470.17</v>
      </c>
    </row>
    <row r="64" spans="2:9" x14ac:dyDescent="0.25">
      <c r="B64" s="181"/>
      <c r="C64" s="63" t="s">
        <v>20</v>
      </c>
      <c r="D64" s="64">
        <v>5405.56</v>
      </c>
      <c r="E64" s="64">
        <v>4899.38</v>
      </c>
      <c r="F64" s="64">
        <v>6216.39</v>
      </c>
      <c r="G64" s="3">
        <v>5634.28</v>
      </c>
    </row>
    <row r="65" spans="2:7" x14ac:dyDescent="0.25">
      <c r="B65" s="179" t="s">
        <v>21</v>
      </c>
      <c r="C65" s="63" t="s">
        <v>15</v>
      </c>
      <c r="D65" s="64">
        <v>5675.83</v>
      </c>
      <c r="E65" s="64">
        <v>5144.34</v>
      </c>
      <c r="F65" s="64">
        <v>6527.21</v>
      </c>
      <c r="G65" s="3">
        <v>5915.99</v>
      </c>
    </row>
    <row r="66" spans="2:7" x14ac:dyDescent="0.25">
      <c r="B66" s="179"/>
      <c r="C66" s="63" t="s">
        <v>16</v>
      </c>
      <c r="D66" s="64">
        <v>5846.11</v>
      </c>
      <c r="E66" s="64">
        <v>5298.67</v>
      </c>
      <c r="F66" s="64">
        <v>6723.03</v>
      </c>
      <c r="G66" s="3">
        <v>6093.47</v>
      </c>
    </row>
    <row r="67" spans="2:7" x14ac:dyDescent="0.25">
      <c r="B67" s="179"/>
      <c r="C67" s="63" t="s">
        <v>17</v>
      </c>
      <c r="D67" s="64">
        <v>6021.5</v>
      </c>
      <c r="E67" s="64">
        <v>5457.64</v>
      </c>
      <c r="F67" s="64">
        <v>6924.73</v>
      </c>
      <c r="G67" s="3">
        <v>6276.28</v>
      </c>
    </row>
    <row r="68" spans="2:7" x14ac:dyDescent="0.25">
      <c r="B68" s="179"/>
      <c r="C68" s="2" t="s">
        <v>18</v>
      </c>
      <c r="D68" s="3">
        <v>6202.15</v>
      </c>
      <c r="E68" s="3">
        <v>5621.36</v>
      </c>
      <c r="F68" s="3">
        <v>7132.46</v>
      </c>
      <c r="G68" s="3">
        <v>6464.57</v>
      </c>
    </row>
    <row r="69" spans="2:7" x14ac:dyDescent="0.25">
      <c r="B69" s="179"/>
      <c r="C69" s="2" t="s">
        <v>19</v>
      </c>
      <c r="D69" s="3">
        <v>6388.21</v>
      </c>
      <c r="E69" s="3">
        <v>5790</v>
      </c>
      <c r="F69" s="3">
        <v>7346.44</v>
      </c>
      <c r="G69" s="3">
        <v>6658.5</v>
      </c>
    </row>
    <row r="70" spans="2:7" x14ac:dyDescent="0.25">
      <c r="B70" s="179"/>
      <c r="C70" s="2" t="s">
        <v>20</v>
      </c>
      <c r="D70" s="3">
        <v>6579.85</v>
      </c>
      <c r="E70" s="3">
        <v>5963.7</v>
      </c>
      <c r="F70" s="3">
        <v>7566.83</v>
      </c>
      <c r="G70" s="3">
        <v>6858.26</v>
      </c>
    </row>
    <row r="71" spans="2:7" x14ac:dyDescent="0.25">
      <c r="B71" s="179" t="s">
        <v>22</v>
      </c>
      <c r="C71" s="2" t="s">
        <v>15</v>
      </c>
      <c r="D71" s="3">
        <v>6908.84</v>
      </c>
      <c r="E71" s="3">
        <v>6261.88</v>
      </c>
      <c r="F71" s="3">
        <v>7945.17</v>
      </c>
      <c r="G71" s="3">
        <v>7201.17</v>
      </c>
    </row>
    <row r="72" spans="2:7" x14ac:dyDescent="0.25">
      <c r="B72" s="179"/>
      <c r="C72" s="2" t="s">
        <v>16</v>
      </c>
      <c r="D72" s="3">
        <v>7116.11</v>
      </c>
      <c r="E72" s="3">
        <v>6449.75</v>
      </c>
      <c r="F72" s="3">
        <v>8183.53</v>
      </c>
      <c r="G72" s="3">
        <v>7417.22</v>
      </c>
    </row>
    <row r="73" spans="2:7" x14ac:dyDescent="0.25">
      <c r="B73" s="179"/>
      <c r="C73" s="2" t="s">
        <v>17</v>
      </c>
      <c r="D73" s="3">
        <v>7329.59</v>
      </c>
      <c r="E73" s="3">
        <v>6643.25</v>
      </c>
      <c r="F73" s="3">
        <v>8429.0300000000007</v>
      </c>
      <c r="G73" s="3">
        <v>7639.72</v>
      </c>
    </row>
    <row r="74" spans="2:7" x14ac:dyDescent="0.25">
      <c r="B74" s="179"/>
      <c r="C74" s="2" t="s">
        <v>18</v>
      </c>
      <c r="D74" s="3">
        <v>7549.48</v>
      </c>
      <c r="E74" s="3">
        <v>6842.55</v>
      </c>
      <c r="F74" s="3">
        <v>8681.91</v>
      </c>
      <c r="G74" s="3">
        <v>7868.93</v>
      </c>
    </row>
    <row r="75" spans="2:7" x14ac:dyDescent="0.25">
      <c r="B75" s="179"/>
      <c r="C75" s="2" t="s">
        <v>19</v>
      </c>
      <c r="D75" s="3">
        <v>7775.97</v>
      </c>
      <c r="E75" s="3">
        <v>7047.82</v>
      </c>
      <c r="F75" s="3">
        <v>8942.36</v>
      </c>
      <c r="G75" s="3">
        <v>8105</v>
      </c>
    </row>
    <row r="76" spans="2:7" x14ac:dyDescent="0.25">
      <c r="B76" s="179"/>
      <c r="C76" s="2" t="s">
        <v>20</v>
      </c>
      <c r="D76" s="3">
        <v>8009.24</v>
      </c>
      <c r="E76" s="3">
        <v>7259.25</v>
      </c>
      <c r="F76" s="3">
        <v>9210.64</v>
      </c>
      <c r="G76" s="3">
        <v>8348.15</v>
      </c>
    </row>
    <row r="79" spans="2:7" x14ac:dyDescent="0.25">
      <c r="B79" t="s">
        <v>29</v>
      </c>
    </row>
    <row r="80" spans="2:7" x14ac:dyDescent="0.25">
      <c r="B80" t="s">
        <v>127</v>
      </c>
    </row>
    <row r="82" spans="2:6" x14ac:dyDescent="0.25">
      <c r="B82" s="204" t="s">
        <v>3</v>
      </c>
      <c r="C82" s="204"/>
      <c r="D82" s="204"/>
      <c r="E82" s="204"/>
      <c r="F82" s="204"/>
    </row>
    <row r="83" spans="2:6" x14ac:dyDescent="0.25">
      <c r="B83" s="183" t="s">
        <v>4</v>
      </c>
      <c r="C83" s="183"/>
      <c r="D83" s="204" t="s">
        <v>5</v>
      </c>
      <c r="E83" s="204"/>
      <c r="F83" s="204"/>
    </row>
    <row r="84" spans="2:6" ht="45" x14ac:dyDescent="0.25">
      <c r="B84" s="183"/>
      <c r="C84" s="183"/>
      <c r="D84" s="2" t="s">
        <v>128</v>
      </c>
      <c r="E84" s="6" t="s">
        <v>32</v>
      </c>
      <c r="F84" s="2" t="s">
        <v>33</v>
      </c>
    </row>
    <row r="85" spans="2:6" ht="30" x14ac:dyDescent="0.25">
      <c r="B85" s="57" t="s">
        <v>11</v>
      </c>
      <c r="C85" s="57" t="s">
        <v>12</v>
      </c>
      <c r="D85" s="57" t="s">
        <v>13</v>
      </c>
      <c r="E85" s="57" t="s">
        <v>13</v>
      </c>
      <c r="F85" s="57" t="s">
        <v>13</v>
      </c>
    </row>
    <row r="86" spans="2:6" x14ac:dyDescent="0.25">
      <c r="B86" s="181" t="s">
        <v>14</v>
      </c>
      <c r="C86" s="2" t="s">
        <v>15</v>
      </c>
      <c r="D86" s="3">
        <v>3177.7</v>
      </c>
      <c r="E86" s="3">
        <v>2691.46</v>
      </c>
      <c r="F86" s="3">
        <v>2691.46</v>
      </c>
    </row>
    <row r="87" spans="2:6" x14ac:dyDescent="0.25">
      <c r="B87" s="181"/>
      <c r="C87" s="2" t="s">
        <v>16</v>
      </c>
      <c r="D87" s="3">
        <v>3273.03</v>
      </c>
      <c r="E87" s="3">
        <v>2772.2</v>
      </c>
      <c r="F87" s="3">
        <v>2772.2</v>
      </c>
    </row>
    <row r="88" spans="2:6" x14ac:dyDescent="0.25">
      <c r="B88" s="181"/>
      <c r="C88" s="2" t="s">
        <v>17</v>
      </c>
      <c r="D88" s="3">
        <v>3371.22</v>
      </c>
      <c r="E88" s="3">
        <v>2855.36</v>
      </c>
      <c r="F88" s="3">
        <v>2855.36</v>
      </c>
    </row>
    <row r="89" spans="2:6" x14ac:dyDescent="0.25">
      <c r="B89" s="181"/>
      <c r="C89" s="2" t="s">
        <v>18</v>
      </c>
      <c r="D89" s="3">
        <v>3472.36</v>
      </c>
      <c r="E89" s="3">
        <v>2941.02</v>
      </c>
      <c r="F89" s="3">
        <v>2941.02</v>
      </c>
    </row>
    <row r="90" spans="2:6" x14ac:dyDescent="0.25">
      <c r="B90" s="181"/>
      <c r="C90" s="2" t="s">
        <v>19</v>
      </c>
      <c r="D90" s="3">
        <v>3576.53</v>
      </c>
      <c r="E90" s="3">
        <v>3029.26</v>
      </c>
      <c r="F90" s="3">
        <v>3029.26</v>
      </c>
    </row>
    <row r="91" spans="2:6" x14ac:dyDescent="0.25">
      <c r="B91" s="181"/>
      <c r="C91" s="2" t="s">
        <v>20</v>
      </c>
      <c r="D91" s="3">
        <v>3683.82</v>
      </c>
      <c r="E91" s="3">
        <v>3120.13</v>
      </c>
      <c r="F91" s="3">
        <v>3120.13</v>
      </c>
    </row>
    <row r="92" spans="2:6" x14ac:dyDescent="0.25">
      <c r="B92" s="179" t="s">
        <v>21</v>
      </c>
      <c r="C92" s="2" t="s">
        <v>15</v>
      </c>
      <c r="D92" s="3">
        <v>3868.02</v>
      </c>
      <c r="E92" s="3">
        <v>3276.13</v>
      </c>
      <c r="F92" s="3">
        <v>3276.13</v>
      </c>
    </row>
    <row r="93" spans="2:6" x14ac:dyDescent="0.25">
      <c r="B93" s="179"/>
      <c r="C93" s="2" t="s">
        <v>16</v>
      </c>
      <c r="D93" s="3">
        <v>3984.06</v>
      </c>
      <c r="E93" s="3">
        <v>3374.42</v>
      </c>
      <c r="F93" s="3">
        <v>3374.42</v>
      </c>
    </row>
    <row r="94" spans="2:6" x14ac:dyDescent="0.25">
      <c r="B94" s="179"/>
      <c r="C94" s="2" t="s">
        <v>17</v>
      </c>
      <c r="D94" s="3">
        <v>4103.59</v>
      </c>
      <c r="E94" s="3">
        <v>3475.64</v>
      </c>
      <c r="F94" s="3">
        <v>3475.64</v>
      </c>
    </row>
    <row r="95" spans="2:6" x14ac:dyDescent="0.25">
      <c r="B95" s="179"/>
      <c r="C95" s="2" t="s">
        <v>18</v>
      </c>
      <c r="D95" s="3">
        <v>4226.7</v>
      </c>
      <c r="E95" s="3">
        <v>3579.91</v>
      </c>
      <c r="F95" s="3">
        <v>3579.91</v>
      </c>
    </row>
    <row r="96" spans="2:6" x14ac:dyDescent="0.25">
      <c r="B96" s="179"/>
      <c r="C96" s="2" t="s">
        <v>19</v>
      </c>
      <c r="D96" s="3">
        <v>4353.51</v>
      </c>
      <c r="E96" s="3">
        <v>3687.31</v>
      </c>
      <c r="F96" s="3">
        <v>3687.31</v>
      </c>
    </row>
    <row r="97" spans="2:12" x14ac:dyDescent="0.25">
      <c r="B97" s="179"/>
      <c r="C97" s="2" t="s">
        <v>20</v>
      </c>
      <c r="D97" s="3">
        <v>4484.1099999999997</v>
      </c>
      <c r="E97" s="3">
        <v>3797.93</v>
      </c>
      <c r="F97" s="3">
        <v>3797.93</v>
      </c>
    </row>
    <row r="98" spans="2:12" x14ac:dyDescent="0.25">
      <c r="B98" s="179" t="s">
        <v>22</v>
      </c>
      <c r="C98" s="2" t="s">
        <v>15</v>
      </c>
      <c r="D98" s="3">
        <v>4708.3100000000004</v>
      </c>
      <c r="E98" s="3">
        <v>3987.83</v>
      </c>
      <c r="F98" s="3">
        <v>3987.83</v>
      </c>
    </row>
    <row r="99" spans="2:12" x14ac:dyDescent="0.25">
      <c r="B99" s="179"/>
      <c r="C99" s="2" t="s">
        <v>16</v>
      </c>
      <c r="D99" s="3">
        <v>4849.5600000000004</v>
      </c>
      <c r="E99" s="3">
        <v>4107.46</v>
      </c>
      <c r="F99" s="3">
        <v>4107.46</v>
      </c>
    </row>
    <row r="100" spans="2:12" x14ac:dyDescent="0.25">
      <c r="B100" s="179"/>
      <c r="C100" s="2" t="s">
        <v>17</v>
      </c>
      <c r="D100" s="3">
        <v>4995.05</v>
      </c>
      <c r="E100" s="3">
        <v>4230.68</v>
      </c>
      <c r="F100" s="3">
        <v>4230.68</v>
      </c>
    </row>
    <row r="101" spans="2:12" x14ac:dyDescent="0.25">
      <c r="B101" s="179"/>
      <c r="C101" s="2" t="s">
        <v>18</v>
      </c>
      <c r="D101" s="3">
        <v>5144.8999999999996</v>
      </c>
      <c r="E101" s="3">
        <v>4357.6000000000004</v>
      </c>
      <c r="F101" s="3">
        <v>4357.6000000000004</v>
      </c>
    </row>
    <row r="102" spans="2:12" x14ac:dyDescent="0.25">
      <c r="B102" s="179"/>
      <c r="C102" s="2" t="s">
        <v>19</v>
      </c>
      <c r="D102" s="3">
        <v>5299.26</v>
      </c>
      <c r="E102" s="3">
        <v>4488.34</v>
      </c>
      <c r="F102" s="3">
        <v>4488.34</v>
      </c>
    </row>
    <row r="103" spans="2:12" x14ac:dyDescent="0.25">
      <c r="B103" s="179"/>
      <c r="C103" s="2" t="s">
        <v>20</v>
      </c>
      <c r="D103" s="3">
        <v>5458.23</v>
      </c>
      <c r="E103" s="3">
        <v>4623</v>
      </c>
      <c r="F103" s="3">
        <v>4623</v>
      </c>
    </row>
    <row r="106" spans="2:12" x14ac:dyDescent="0.25">
      <c r="B106" t="s">
        <v>34</v>
      </c>
    </row>
    <row r="107" spans="2:12" x14ac:dyDescent="0.25">
      <c r="B107" t="s">
        <v>35</v>
      </c>
    </row>
    <row r="109" spans="2:12" x14ac:dyDescent="0.25">
      <c r="B109" s="2" t="s">
        <v>36</v>
      </c>
      <c r="C109" s="2" t="s">
        <v>37</v>
      </c>
      <c r="D109" s="2" t="s">
        <v>129</v>
      </c>
    </row>
    <row r="110" spans="2:12" x14ac:dyDescent="0.25">
      <c r="B110" s="2" t="s">
        <v>38</v>
      </c>
      <c r="C110" s="3">
        <v>3374.44</v>
      </c>
      <c r="D110" s="16">
        <v>1687.22</v>
      </c>
      <c r="F110" s="15"/>
      <c r="J110" s="15"/>
      <c r="K110" s="15"/>
      <c r="L110" s="15"/>
    </row>
    <row r="111" spans="2:12" x14ac:dyDescent="0.25">
      <c r="B111" s="2" t="s">
        <v>39</v>
      </c>
      <c r="C111" s="3">
        <v>5455.08</v>
      </c>
      <c r="D111" s="16">
        <v>2727.54</v>
      </c>
      <c r="F111" s="15"/>
      <c r="J111" s="15"/>
      <c r="K111" s="15"/>
      <c r="L111" s="15"/>
    </row>
    <row r="112" spans="2:12" x14ac:dyDescent="0.25">
      <c r="B112" s="2" t="s">
        <v>40</v>
      </c>
      <c r="C112" s="3">
        <v>6779.14</v>
      </c>
      <c r="D112" s="16">
        <v>3389.57</v>
      </c>
      <c r="F112" s="15"/>
      <c r="J112" s="15"/>
      <c r="K112" s="15"/>
      <c r="L112" s="15"/>
    </row>
    <row r="113" spans="2:19" x14ac:dyDescent="0.25">
      <c r="B113" s="2" t="s">
        <v>41</v>
      </c>
      <c r="C113" s="3">
        <v>7724.88</v>
      </c>
      <c r="D113" s="16">
        <v>3862.44</v>
      </c>
      <c r="F113" s="15"/>
      <c r="J113" s="15"/>
      <c r="K113" s="15"/>
      <c r="L113" s="15"/>
    </row>
    <row r="114" spans="2:19" x14ac:dyDescent="0.25">
      <c r="B114" s="2" t="s">
        <v>42</v>
      </c>
      <c r="C114" s="3">
        <v>11507.87</v>
      </c>
      <c r="D114" s="16">
        <v>5753.9350000000004</v>
      </c>
      <c r="F114" s="15"/>
      <c r="J114" s="15"/>
      <c r="K114" s="15"/>
      <c r="L114" s="15"/>
    </row>
    <row r="115" spans="2:19" x14ac:dyDescent="0.25">
      <c r="B115" s="2" t="s">
        <v>43</v>
      </c>
      <c r="C115" s="3">
        <v>14739.29</v>
      </c>
      <c r="D115" s="16">
        <v>7369.6450000000004</v>
      </c>
      <c r="F115" s="15"/>
      <c r="J115" s="15"/>
      <c r="K115" s="15"/>
      <c r="L115" s="15"/>
    </row>
    <row r="116" spans="2:19" x14ac:dyDescent="0.25">
      <c r="B116" s="2" t="s">
        <v>44</v>
      </c>
      <c r="C116" s="3">
        <v>17452.84</v>
      </c>
      <c r="D116" s="16">
        <v>8726.42</v>
      </c>
      <c r="F116" s="15"/>
      <c r="J116" s="15"/>
      <c r="K116" s="15"/>
      <c r="L116" s="15"/>
    </row>
    <row r="117" spans="2:19" x14ac:dyDescent="0.25">
      <c r="B117" s="2" t="s">
        <v>45</v>
      </c>
      <c r="C117" s="3">
        <v>24411.01</v>
      </c>
      <c r="D117" s="16">
        <v>12205.5</v>
      </c>
      <c r="F117" s="15"/>
      <c r="J117" s="15"/>
      <c r="K117" s="15"/>
      <c r="L117" s="15"/>
    </row>
    <row r="119" spans="2:19" x14ac:dyDescent="0.25">
      <c r="B119" t="s">
        <v>46</v>
      </c>
    </row>
    <row r="120" spans="2:19" x14ac:dyDescent="0.25">
      <c r="B120" t="s">
        <v>47</v>
      </c>
    </row>
    <row r="122" spans="2:19" x14ac:dyDescent="0.25">
      <c r="B122" s="2" t="s">
        <v>36</v>
      </c>
      <c r="C122" s="2" t="s">
        <v>37</v>
      </c>
    </row>
    <row r="123" spans="2:19" x14ac:dyDescent="0.25">
      <c r="B123" s="2" t="s">
        <v>48</v>
      </c>
      <c r="C123" s="14">
        <v>3862.44</v>
      </c>
      <c r="P123" t="s">
        <v>387</v>
      </c>
    </row>
    <row r="125" spans="2:19" ht="30" x14ac:dyDescent="0.25">
      <c r="B125" s="13" t="s">
        <v>49</v>
      </c>
      <c r="C125" s="13"/>
      <c r="D125" s="13"/>
      <c r="E125" s="13"/>
      <c r="F125" s="13"/>
    </row>
    <row r="126" spans="2:19" ht="90" customHeight="1" x14ac:dyDescent="0.25">
      <c r="B126" s="225" t="s">
        <v>50</v>
      </c>
      <c r="C126" s="225"/>
      <c r="D126" s="225" t="s">
        <v>51</v>
      </c>
      <c r="E126" s="225"/>
      <c r="F126" s="225"/>
      <c r="G126" s="225"/>
      <c r="H126" s="225" t="s">
        <v>52</v>
      </c>
      <c r="I126" s="225"/>
      <c r="J126" s="225"/>
      <c r="K126" s="225" t="s">
        <v>53</v>
      </c>
      <c r="L126" s="225"/>
      <c r="M126" s="225"/>
      <c r="N126" s="225"/>
      <c r="O126" s="22" t="s">
        <v>130</v>
      </c>
      <c r="P126" s="22" t="s">
        <v>131</v>
      </c>
      <c r="Q126" s="21" t="s">
        <v>132</v>
      </c>
      <c r="R126" s="107">
        <v>37589.96</v>
      </c>
      <c r="S126" s="55" t="s">
        <v>604</v>
      </c>
    </row>
    <row r="127" spans="2:19" ht="90" customHeight="1" x14ac:dyDescent="0.25">
      <c r="B127" s="225" t="s">
        <v>65</v>
      </c>
      <c r="C127" s="225"/>
      <c r="D127" s="225" t="s">
        <v>66</v>
      </c>
      <c r="E127" s="225"/>
      <c r="F127" s="225"/>
      <c r="G127" s="225"/>
      <c r="H127" s="225" t="s">
        <v>67</v>
      </c>
      <c r="I127" s="225"/>
      <c r="J127" s="225"/>
      <c r="K127" s="225" t="s">
        <v>68</v>
      </c>
      <c r="L127" s="225"/>
      <c r="M127" s="225"/>
      <c r="N127" s="225"/>
    </row>
    <row r="128" spans="2:19" ht="90" customHeight="1" x14ac:dyDescent="0.25">
      <c r="B128" s="225" t="s">
        <v>69</v>
      </c>
      <c r="C128" s="225"/>
      <c r="D128" s="225" t="s">
        <v>70</v>
      </c>
      <c r="E128" s="225"/>
      <c r="F128" s="225"/>
      <c r="G128" s="225"/>
      <c r="H128" s="225" t="s">
        <v>67</v>
      </c>
      <c r="I128" s="225"/>
      <c r="J128" s="225"/>
      <c r="K128" s="225" t="s">
        <v>68</v>
      </c>
      <c r="L128" s="225"/>
      <c r="M128" s="225"/>
      <c r="N128" s="225"/>
    </row>
    <row r="129" spans="2:15" ht="90" customHeight="1" x14ac:dyDescent="0.25">
      <c r="B129" s="225" t="s">
        <v>71</v>
      </c>
      <c r="C129" s="225"/>
      <c r="D129" s="225" t="s">
        <v>72</v>
      </c>
      <c r="E129" s="225"/>
      <c r="F129" s="225"/>
      <c r="G129" s="225"/>
      <c r="H129" s="243" t="s">
        <v>600</v>
      </c>
      <c r="I129" s="243"/>
      <c r="J129" s="243"/>
      <c r="K129" s="225" t="s">
        <v>74</v>
      </c>
      <c r="L129" s="225"/>
      <c r="M129" s="225"/>
      <c r="N129" s="225"/>
    </row>
    <row r="130" spans="2:15" ht="90" customHeight="1" x14ac:dyDescent="0.25">
      <c r="B130" s="225" t="s">
        <v>75</v>
      </c>
      <c r="C130" s="225"/>
      <c r="D130" s="225" t="s">
        <v>76</v>
      </c>
      <c r="E130" s="225"/>
      <c r="F130" s="225"/>
      <c r="G130" s="225"/>
      <c r="H130" s="243" t="s">
        <v>601</v>
      </c>
      <c r="I130" s="243"/>
      <c r="J130" s="243"/>
      <c r="K130" s="225" t="s">
        <v>77</v>
      </c>
      <c r="L130" s="225"/>
      <c r="M130" s="225"/>
      <c r="N130" s="225"/>
    </row>
    <row r="131" spans="2:15" ht="90" customHeight="1" x14ac:dyDescent="0.25">
      <c r="B131" s="225" t="s">
        <v>78</v>
      </c>
      <c r="C131" s="225"/>
      <c r="D131" s="225" t="s">
        <v>79</v>
      </c>
      <c r="E131" s="225"/>
      <c r="F131" s="225"/>
      <c r="G131" s="225"/>
      <c r="H131" s="244">
        <v>1514.16</v>
      </c>
      <c r="I131" s="244"/>
      <c r="J131" s="244"/>
      <c r="K131" s="225" t="s">
        <v>80</v>
      </c>
      <c r="L131" s="225"/>
      <c r="M131" s="225"/>
      <c r="N131" s="225"/>
      <c r="O131" s="54"/>
    </row>
    <row r="132" spans="2:15" ht="90" customHeight="1" x14ac:dyDescent="0.25">
      <c r="B132" s="225" t="s">
        <v>81</v>
      </c>
      <c r="C132" s="225"/>
      <c r="D132" s="225" t="s">
        <v>82</v>
      </c>
      <c r="E132" s="225"/>
      <c r="F132" s="225"/>
      <c r="G132" s="225"/>
      <c r="H132" s="244">
        <v>1514.16</v>
      </c>
      <c r="I132" s="244"/>
      <c r="J132" s="244"/>
      <c r="K132" s="225" t="s">
        <v>83</v>
      </c>
      <c r="L132" s="225"/>
      <c r="M132" s="225"/>
      <c r="N132" s="225"/>
    </row>
    <row r="133" spans="2:15" ht="90" customHeight="1" x14ac:dyDescent="0.25">
      <c r="B133" s="225" t="s">
        <v>84</v>
      </c>
      <c r="C133" s="225"/>
      <c r="D133" s="225" t="s">
        <v>85</v>
      </c>
      <c r="E133" s="225"/>
      <c r="F133" s="225"/>
      <c r="G133" s="225"/>
      <c r="H133" s="243" t="s">
        <v>602</v>
      </c>
      <c r="I133" s="243"/>
      <c r="J133" s="243"/>
      <c r="K133" s="225" t="s">
        <v>87</v>
      </c>
      <c r="L133" s="225"/>
      <c r="M133" s="225"/>
      <c r="N133" s="225"/>
    </row>
    <row r="136" spans="2:15" x14ac:dyDescent="0.25">
      <c r="B136" t="s">
        <v>88</v>
      </c>
    </row>
    <row r="138" spans="2:15" x14ac:dyDescent="0.25">
      <c r="B138" s="65"/>
      <c r="C138" s="66">
        <v>2020</v>
      </c>
      <c r="D138" s="66">
        <v>2021</v>
      </c>
      <c r="E138" s="67">
        <v>2022</v>
      </c>
      <c r="F138" s="68"/>
      <c r="G138" s="68"/>
      <c r="H138" s="69"/>
      <c r="I138" s="67" t="s">
        <v>603</v>
      </c>
      <c r="J138" s="68"/>
      <c r="K138" s="68"/>
      <c r="L138" s="69"/>
    </row>
    <row r="139" spans="2:15" x14ac:dyDescent="0.25">
      <c r="B139" s="70"/>
      <c r="C139" s="71" t="s">
        <v>89</v>
      </c>
      <c r="D139" s="71" t="s">
        <v>89</v>
      </c>
      <c r="E139" s="71" t="s">
        <v>90</v>
      </c>
      <c r="F139" s="72" t="s">
        <v>91</v>
      </c>
      <c r="G139" s="72" t="s">
        <v>92</v>
      </c>
      <c r="H139" s="72" t="s">
        <v>93</v>
      </c>
      <c r="I139" s="71" t="s">
        <v>90</v>
      </c>
      <c r="J139" s="72" t="s">
        <v>91</v>
      </c>
      <c r="K139" s="72" t="s">
        <v>92</v>
      </c>
      <c r="L139" s="72" t="s">
        <v>93</v>
      </c>
    </row>
    <row r="140" spans="2:15" x14ac:dyDescent="0.25">
      <c r="B140" s="73" t="s">
        <v>94</v>
      </c>
      <c r="C140" s="74">
        <v>2250</v>
      </c>
      <c r="D140" s="74">
        <v>3000</v>
      </c>
      <c r="E140" s="74">
        <v>4071</v>
      </c>
      <c r="F140" s="74">
        <v>407.1</v>
      </c>
      <c r="G140" s="74">
        <v>1221.3</v>
      </c>
      <c r="H140" s="74">
        <v>2442.6</v>
      </c>
      <c r="I140" s="74">
        <f>ROUND(E140*1.0729,2)</f>
        <v>4367.78</v>
      </c>
      <c r="J140" s="74">
        <f>ROUND(I140*0.1,2)</f>
        <v>436.78</v>
      </c>
      <c r="K140" s="74">
        <f>ROUND(I140*0.3,2)</f>
        <v>1310.33</v>
      </c>
      <c r="L140" s="74">
        <f>ROUND(I140*0.6,2)</f>
        <v>2620.67</v>
      </c>
    </row>
    <row r="141" spans="2:15" x14ac:dyDescent="0.25">
      <c r="B141" s="73" t="s">
        <v>95</v>
      </c>
      <c r="C141" s="74">
        <v>2166.75</v>
      </c>
      <c r="D141" s="74">
        <v>2889</v>
      </c>
      <c r="E141" s="74">
        <v>3920.37</v>
      </c>
      <c r="F141" s="74">
        <v>392.04</v>
      </c>
      <c r="G141" s="74">
        <v>1176.1199999999999</v>
      </c>
      <c r="H141" s="74">
        <v>2352.21</v>
      </c>
      <c r="I141" s="74">
        <f t="shared" ref="I141:I147" si="0">ROUND(E141*1.0729,2)</f>
        <v>4206.16</v>
      </c>
      <c r="J141" s="74">
        <f t="shared" ref="J141:J147" si="1">ROUND(I141*0.1,2)</f>
        <v>420.62</v>
      </c>
      <c r="K141" s="74">
        <f t="shared" ref="K141:K147" si="2">ROUND(I141*0.3,2)</f>
        <v>1261.8499999999999</v>
      </c>
      <c r="L141" s="74">
        <f t="shared" ref="L141:L147" si="3">ROUND(I141*0.6,2)</f>
        <v>2523.6999999999998</v>
      </c>
    </row>
    <row r="142" spans="2:15" x14ac:dyDescent="0.25">
      <c r="B142" s="73" t="s">
        <v>96</v>
      </c>
      <c r="C142" s="74">
        <v>1166.6300000000001</v>
      </c>
      <c r="D142" s="74">
        <v>1555.5</v>
      </c>
      <c r="E142" s="74">
        <v>2110.8200000000002</v>
      </c>
      <c r="F142" s="74">
        <v>211.08</v>
      </c>
      <c r="G142" s="74">
        <v>633.24</v>
      </c>
      <c r="H142" s="74">
        <v>1266.5</v>
      </c>
      <c r="I142" s="74">
        <f t="shared" si="0"/>
        <v>2264.6999999999998</v>
      </c>
      <c r="J142" s="74">
        <f t="shared" si="1"/>
        <v>226.47</v>
      </c>
      <c r="K142" s="74">
        <f t="shared" si="2"/>
        <v>679.41</v>
      </c>
      <c r="L142" s="74">
        <f t="shared" si="3"/>
        <v>1358.82</v>
      </c>
    </row>
    <row r="143" spans="2:15" x14ac:dyDescent="0.25">
      <c r="B143" s="73" t="s">
        <v>97</v>
      </c>
      <c r="C143" s="74">
        <v>1833.3</v>
      </c>
      <c r="D143" s="74">
        <v>2444.4</v>
      </c>
      <c r="E143" s="74">
        <v>3317.05</v>
      </c>
      <c r="F143" s="74">
        <v>331.71</v>
      </c>
      <c r="G143" s="74">
        <v>995.12</v>
      </c>
      <c r="H143" s="74">
        <v>1990.22</v>
      </c>
      <c r="I143" s="74">
        <f t="shared" si="0"/>
        <v>3558.86</v>
      </c>
      <c r="J143" s="74">
        <f t="shared" si="1"/>
        <v>355.89</v>
      </c>
      <c r="K143" s="74">
        <f t="shared" si="2"/>
        <v>1067.6600000000001</v>
      </c>
      <c r="L143" s="74">
        <f t="shared" si="3"/>
        <v>2135.3200000000002</v>
      </c>
    </row>
    <row r="144" spans="2:15" x14ac:dyDescent="0.25">
      <c r="B144" s="73" t="s">
        <v>98</v>
      </c>
      <c r="C144" s="74">
        <v>1750.05</v>
      </c>
      <c r="D144" s="74">
        <v>2333.4</v>
      </c>
      <c r="E144" s="74">
        <v>3166.42</v>
      </c>
      <c r="F144" s="74">
        <v>316.64999999999998</v>
      </c>
      <c r="G144" s="74">
        <v>949.93</v>
      </c>
      <c r="H144" s="74">
        <v>1899.84</v>
      </c>
      <c r="I144" s="74">
        <f t="shared" si="0"/>
        <v>3397.25</v>
      </c>
      <c r="J144" s="74">
        <f t="shared" si="1"/>
        <v>339.73</v>
      </c>
      <c r="K144" s="74">
        <f t="shared" si="2"/>
        <v>1019.18</v>
      </c>
      <c r="L144" s="74">
        <f t="shared" si="3"/>
        <v>2038.35</v>
      </c>
    </row>
    <row r="145" spans="2:12" x14ac:dyDescent="0.25">
      <c r="B145" s="73" t="s">
        <v>99</v>
      </c>
      <c r="C145" s="74">
        <v>1750.05</v>
      </c>
      <c r="D145" s="74">
        <v>2333.4</v>
      </c>
      <c r="E145" s="74">
        <v>3166.42</v>
      </c>
      <c r="F145" s="74">
        <v>316.64999999999998</v>
      </c>
      <c r="G145" s="74">
        <v>949.93</v>
      </c>
      <c r="H145" s="74">
        <v>1899.84</v>
      </c>
      <c r="I145" s="74">
        <f t="shared" si="0"/>
        <v>3397.25</v>
      </c>
      <c r="J145" s="74">
        <f t="shared" si="1"/>
        <v>339.73</v>
      </c>
      <c r="K145" s="74">
        <f t="shared" si="2"/>
        <v>1019.18</v>
      </c>
      <c r="L145" s="74">
        <f t="shared" si="3"/>
        <v>2038.35</v>
      </c>
    </row>
    <row r="146" spans="2:12" x14ac:dyDescent="0.25">
      <c r="B146" s="73" t="s">
        <v>100</v>
      </c>
      <c r="C146" s="74">
        <v>1166.6300000000001</v>
      </c>
      <c r="D146" s="74">
        <v>1555.5</v>
      </c>
      <c r="E146" s="74">
        <v>2110.8200000000002</v>
      </c>
      <c r="F146" s="74">
        <v>211.08</v>
      </c>
      <c r="G146" s="74">
        <v>633.24</v>
      </c>
      <c r="H146" s="74">
        <v>1266.5</v>
      </c>
      <c r="I146" s="74">
        <f t="shared" si="0"/>
        <v>2264.6999999999998</v>
      </c>
      <c r="J146" s="74">
        <f t="shared" si="1"/>
        <v>226.47</v>
      </c>
      <c r="K146" s="74">
        <f t="shared" si="2"/>
        <v>679.41</v>
      </c>
      <c r="L146" s="74">
        <f t="shared" si="3"/>
        <v>1358.82</v>
      </c>
    </row>
    <row r="147" spans="2:12" x14ac:dyDescent="0.25">
      <c r="B147" s="73" t="s">
        <v>137</v>
      </c>
      <c r="C147" s="74">
        <v>833.5</v>
      </c>
      <c r="D147" s="74">
        <v>1111.2</v>
      </c>
      <c r="E147" s="74">
        <v>1507.9</v>
      </c>
      <c r="F147" s="74">
        <v>150.79</v>
      </c>
      <c r="G147" s="74">
        <v>452.37</v>
      </c>
      <c r="H147" s="74">
        <v>904.74</v>
      </c>
      <c r="I147" s="74">
        <f t="shared" si="0"/>
        <v>1617.83</v>
      </c>
      <c r="J147" s="74">
        <f t="shared" si="1"/>
        <v>161.78</v>
      </c>
      <c r="K147" s="74">
        <f t="shared" si="2"/>
        <v>485.35</v>
      </c>
      <c r="L147" s="74">
        <f t="shared" si="3"/>
        <v>970.7</v>
      </c>
    </row>
    <row r="152" spans="2:12" x14ac:dyDescent="0.25">
      <c r="B152" t="s">
        <v>102</v>
      </c>
    </row>
    <row r="153" spans="2:12" x14ac:dyDescent="0.25">
      <c r="B153" s="75" t="s">
        <v>103</v>
      </c>
      <c r="C153" s="75" t="s">
        <v>104</v>
      </c>
      <c r="D153" s="75" t="s">
        <v>105</v>
      </c>
      <c r="E153" s="193" t="s">
        <v>106</v>
      </c>
      <c r="F153" s="193"/>
      <c r="G153" s="193"/>
    </row>
    <row r="154" spans="2:12" x14ac:dyDescent="0.25">
      <c r="B154" s="75"/>
      <c r="C154" s="75"/>
      <c r="D154" s="75"/>
      <c r="E154" s="60" t="s">
        <v>107</v>
      </c>
      <c r="F154" s="60" t="s">
        <v>108</v>
      </c>
      <c r="G154" s="75" t="s">
        <v>109</v>
      </c>
    </row>
    <row r="155" spans="2:12" x14ac:dyDescent="0.25">
      <c r="B155" s="180" t="s">
        <v>94</v>
      </c>
      <c r="C155" s="181" t="s">
        <v>14</v>
      </c>
      <c r="D155" s="77" t="s">
        <v>15</v>
      </c>
      <c r="E155" s="78">
        <v>346.11</v>
      </c>
      <c r="F155" s="79">
        <v>692.21</v>
      </c>
      <c r="G155" s="78">
        <v>1038.32</v>
      </c>
    </row>
    <row r="156" spans="2:12" x14ac:dyDescent="0.25">
      <c r="B156" s="180"/>
      <c r="C156" s="181"/>
      <c r="D156" s="77" t="s">
        <v>16</v>
      </c>
      <c r="E156" s="78">
        <v>353.04</v>
      </c>
      <c r="F156" s="79">
        <v>706.05</v>
      </c>
      <c r="G156" s="78">
        <v>1059.0899999999999</v>
      </c>
    </row>
    <row r="157" spans="2:12" x14ac:dyDescent="0.25">
      <c r="B157" s="180"/>
      <c r="C157" s="181"/>
      <c r="D157" s="77" t="s">
        <v>17</v>
      </c>
      <c r="E157" s="78">
        <v>360.09</v>
      </c>
      <c r="F157" s="79">
        <v>720.18</v>
      </c>
      <c r="G157" s="78">
        <v>1080.27</v>
      </c>
    </row>
    <row r="158" spans="2:12" x14ac:dyDescent="0.25">
      <c r="B158" s="180"/>
      <c r="C158" s="181"/>
      <c r="D158" s="77" t="s">
        <v>18</v>
      </c>
      <c r="E158" s="78">
        <v>367.29</v>
      </c>
      <c r="F158" s="79">
        <v>734.58</v>
      </c>
      <c r="G158" s="78">
        <v>1101.8699999999999</v>
      </c>
    </row>
    <row r="159" spans="2:12" x14ac:dyDescent="0.25">
      <c r="B159" s="180"/>
      <c r="C159" s="181"/>
      <c r="D159" s="77" t="s">
        <v>19</v>
      </c>
      <c r="E159" s="78">
        <v>374.64</v>
      </c>
      <c r="F159" s="79">
        <v>749.28</v>
      </c>
      <c r="G159" s="78">
        <v>1123.9100000000001</v>
      </c>
    </row>
    <row r="160" spans="2:12" x14ac:dyDescent="0.25">
      <c r="B160" s="180"/>
      <c r="C160" s="181"/>
      <c r="D160" s="77" t="s">
        <v>20</v>
      </c>
      <c r="E160" s="78">
        <v>382.12</v>
      </c>
      <c r="F160" s="79">
        <v>764.26</v>
      </c>
      <c r="G160" s="78">
        <v>1146.3800000000001</v>
      </c>
    </row>
    <row r="161" spans="2:8" x14ac:dyDescent="0.25">
      <c r="B161" s="180" t="s">
        <v>110</v>
      </c>
      <c r="C161" s="181" t="s">
        <v>21</v>
      </c>
      <c r="D161" s="77" t="s">
        <v>15</v>
      </c>
      <c r="E161" s="78">
        <v>389.77</v>
      </c>
      <c r="F161" s="79">
        <v>779.55</v>
      </c>
      <c r="G161" s="80">
        <v>1169.32</v>
      </c>
    </row>
    <row r="162" spans="2:8" x14ac:dyDescent="0.25">
      <c r="B162" s="180"/>
      <c r="C162" s="181"/>
      <c r="D162" s="77" t="s">
        <v>16</v>
      </c>
      <c r="E162" s="78">
        <v>397.57</v>
      </c>
      <c r="F162" s="79">
        <v>795.14</v>
      </c>
      <c r="G162" s="80">
        <v>1192.71</v>
      </c>
    </row>
    <row r="163" spans="2:8" x14ac:dyDescent="0.25">
      <c r="B163" s="180"/>
      <c r="C163" s="181"/>
      <c r="D163" s="77" t="s">
        <v>17</v>
      </c>
      <c r="E163" s="78">
        <v>405.51</v>
      </c>
      <c r="F163" s="79">
        <v>811.05</v>
      </c>
      <c r="G163" s="80">
        <v>1216.56</v>
      </c>
    </row>
    <row r="164" spans="2:8" x14ac:dyDescent="0.25">
      <c r="B164" s="180"/>
      <c r="C164" s="181"/>
      <c r="D164" s="77" t="s">
        <v>18</v>
      </c>
      <c r="E164" s="78">
        <v>413.64</v>
      </c>
      <c r="F164" s="79">
        <v>827.26</v>
      </c>
      <c r="G164" s="80">
        <v>1240.8900000000001</v>
      </c>
    </row>
    <row r="165" spans="2:8" x14ac:dyDescent="0.25">
      <c r="B165" s="180"/>
      <c r="C165" s="181"/>
      <c r="D165" s="77" t="s">
        <v>19</v>
      </c>
      <c r="E165" s="78">
        <v>421.91</v>
      </c>
      <c r="F165" s="79">
        <v>843.8</v>
      </c>
      <c r="G165" s="80">
        <v>1265.71</v>
      </c>
    </row>
    <row r="166" spans="2:8" x14ac:dyDescent="0.25">
      <c r="B166" s="180"/>
      <c r="C166" s="181"/>
      <c r="D166" s="77" t="s">
        <v>20</v>
      </c>
      <c r="E166" s="78">
        <v>430.34</v>
      </c>
      <c r="F166" s="79">
        <v>860.68</v>
      </c>
      <c r="G166" s="80">
        <v>1291.02</v>
      </c>
    </row>
    <row r="167" spans="2:8" x14ac:dyDescent="0.25">
      <c r="B167" s="180" t="s">
        <v>111</v>
      </c>
      <c r="C167" s="180" t="s">
        <v>112</v>
      </c>
      <c r="D167" s="77" t="s">
        <v>15</v>
      </c>
      <c r="E167" s="78">
        <v>438.94</v>
      </c>
      <c r="F167" s="79">
        <v>877.89</v>
      </c>
      <c r="G167" s="80">
        <v>1316.83</v>
      </c>
    </row>
    <row r="168" spans="2:8" x14ac:dyDescent="0.25">
      <c r="B168" s="180"/>
      <c r="C168" s="180"/>
      <c r="D168" s="77" t="s">
        <v>16</v>
      </c>
      <c r="E168" s="78">
        <v>447.72</v>
      </c>
      <c r="F168" s="79">
        <v>895.45</v>
      </c>
      <c r="G168" s="80">
        <v>1343.17</v>
      </c>
    </row>
    <row r="169" spans="2:8" x14ac:dyDescent="0.25">
      <c r="B169" s="180"/>
      <c r="C169" s="180"/>
      <c r="D169" s="77" t="s">
        <v>17</v>
      </c>
      <c r="E169" s="78">
        <v>456.68</v>
      </c>
      <c r="F169" s="79">
        <v>913.35</v>
      </c>
      <c r="G169" s="80">
        <v>1370.04</v>
      </c>
    </row>
    <row r="170" spans="2:8" x14ac:dyDescent="0.25">
      <c r="B170" s="180"/>
      <c r="C170" s="180"/>
      <c r="D170" s="77" t="s">
        <v>18</v>
      </c>
      <c r="E170" s="78">
        <v>465.81</v>
      </c>
      <c r="F170" s="79">
        <v>931.63</v>
      </c>
      <c r="G170" s="80">
        <v>1397.44</v>
      </c>
    </row>
    <row r="171" spans="2:8" x14ac:dyDescent="0.25">
      <c r="B171" s="180"/>
      <c r="C171" s="180"/>
      <c r="D171" s="77" t="s">
        <v>19</v>
      </c>
      <c r="E171" s="78">
        <v>475.12</v>
      </c>
      <c r="F171" s="79">
        <v>950.26</v>
      </c>
      <c r="G171" s="80">
        <v>1425.39</v>
      </c>
    </row>
    <row r="172" spans="2:8" x14ac:dyDescent="0.25">
      <c r="B172" s="180"/>
      <c r="C172" s="180"/>
      <c r="D172" s="77" t="s">
        <v>20</v>
      </c>
      <c r="E172" s="78">
        <v>484.63</v>
      </c>
      <c r="F172" s="79">
        <v>969.26</v>
      </c>
      <c r="G172" s="80">
        <v>1453.9</v>
      </c>
    </row>
    <row r="173" spans="2:8" x14ac:dyDescent="0.25">
      <c r="C173" s="81"/>
      <c r="D173" s="81"/>
      <c r="E173" s="81"/>
      <c r="F173" s="81"/>
      <c r="G173" s="81"/>
    </row>
    <row r="174" spans="2:8" x14ac:dyDescent="0.25">
      <c r="C174" s="81"/>
      <c r="D174" s="81"/>
      <c r="E174" s="81"/>
      <c r="F174" s="81"/>
      <c r="G174" s="81"/>
      <c r="H174" s="81"/>
    </row>
    <row r="175" spans="2:8" x14ac:dyDescent="0.25">
      <c r="B175" t="s">
        <v>113</v>
      </c>
      <c r="C175" s="81"/>
      <c r="D175" s="81"/>
      <c r="E175" s="81"/>
      <c r="F175" s="81"/>
      <c r="G175" s="81"/>
      <c r="H175" s="81"/>
    </row>
    <row r="176" spans="2:8" x14ac:dyDescent="0.25">
      <c r="B176" s="82"/>
      <c r="C176" s="81"/>
      <c r="D176" s="81"/>
      <c r="E176" s="81"/>
      <c r="F176" s="81"/>
      <c r="G176" s="81"/>
      <c r="H176" s="81"/>
    </row>
    <row r="177" spans="2:8" x14ac:dyDescent="0.25">
      <c r="B177" s="179" t="s">
        <v>114</v>
      </c>
      <c r="C177" s="179"/>
      <c r="D177" s="179"/>
      <c r="E177" s="179"/>
      <c r="F177" s="179"/>
      <c r="G177" s="179"/>
      <c r="H177" s="179"/>
    </row>
    <row r="178" spans="2:8" x14ac:dyDescent="0.25">
      <c r="B178" s="180" t="s">
        <v>115</v>
      </c>
      <c r="C178" s="181" t="s">
        <v>116</v>
      </c>
      <c r="D178" s="181" t="s">
        <v>117</v>
      </c>
      <c r="E178" s="182" t="s">
        <v>106</v>
      </c>
      <c r="F178" s="182"/>
      <c r="G178" s="182"/>
      <c r="H178" s="182"/>
    </row>
    <row r="179" spans="2:8" ht="45" x14ac:dyDescent="0.25">
      <c r="B179" s="180"/>
      <c r="C179" s="181"/>
      <c r="D179" s="181"/>
      <c r="E179" s="96" t="s">
        <v>118</v>
      </c>
      <c r="F179" s="96" t="s">
        <v>107</v>
      </c>
      <c r="G179" s="96" t="s">
        <v>108</v>
      </c>
      <c r="H179" s="96" t="s">
        <v>109</v>
      </c>
    </row>
    <row r="180" spans="2:8" x14ac:dyDescent="0.25">
      <c r="B180" s="180" t="s">
        <v>119</v>
      </c>
      <c r="C180" s="191" t="s">
        <v>14</v>
      </c>
      <c r="D180" s="95" t="s">
        <v>15</v>
      </c>
      <c r="E180" s="83">
        <v>183.82</v>
      </c>
      <c r="F180" s="78">
        <v>183.82</v>
      </c>
      <c r="G180" s="78">
        <v>367.64</v>
      </c>
      <c r="H180" s="78">
        <v>551.46</v>
      </c>
    </row>
    <row r="181" spans="2:8" x14ac:dyDescent="0.25">
      <c r="B181" s="180"/>
      <c r="C181" s="191"/>
      <c r="D181" s="95" t="s">
        <v>16</v>
      </c>
      <c r="E181" s="83">
        <v>187.5</v>
      </c>
      <c r="F181" s="78">
        <v>187.5</v>
      </c>
      <c r="G181" s="78">
        <v>375</v>
      </c>
      <c r="H181" s="78">
        <v>562.5</v>
      </c>
    </row>
    <row r="182" spans="2:8" x14ac:dyDescent="0.25">
      <c r="B182" s="180"/>
      <c r="C182" s="191"/>
      <c r="D182" s="95" t="s">
        <v>17</v>
      </c>
      <c r="E182" s="83">
        <v>191.26</v>
      </c>
      <c r="F182" s="78">
        <v>191.26</v>
      </c>
      <c r="G182" s="78">
        <v>382.5</v>
      </c>
      <c r="H182" s="78">
        <v>573.75</v>
      </c>
    </row>
    <row r="183" spans="2:8" x14ac:dyDescent="0.25">
      <c r="B183" s="180"/>
      <c r="C183" s="191"/>
      <c r="D183" s="95" t="s">
        <v>18</v>
      </c>
      <c r="E183" s="83">
        <v>195.07</v>
      </c>
      <c r="F183" s="78">
        <v>195.07</v>
      </c>
      <c r="G183" s="78">
        <v>390.14</v>
      </c>
      <c r="H183" s="78">
        <v>585.21</v>
      </c>
    </row>
    <row r="184" spans="2:8" x14ac:dyDescent="0.25">
      <c r="B184" s="180"/>
      <c r="C184" s="191"/>
      <c r="D184" s="95" t="s">
        <v>19</v>
      </c>
      <c r="E184" s="83">
        <v>198.97</v>
      </c>
      <c r="F184" s="78">
        <v>198.97</v>
      </c>
      <c r="G184" s="78">
        <v>397.95</v>
      </c>
      <c r="H184" s="78">
        <v>596.91999999999996</v>
      </c>
    </row>
    <row r="185" spans="2:8" x14ac:dyDescent="0.25">
      <c r="B185" s="180"/>
      <c r="C185" s="191"/>
      <c r="D185" s="95" t="s">
        <v>20</v>
      </c>
      <c r="E185" s="83">
        <v>202.96</v>
      </c>
      <c r="F185" s="78">
        <v>202.96</v>
      </c>
      <c r="G185" s="78">
        <v>405.91</v>
      </c>
      <c r="H185" s="78">
        <v>608.87</v>
      </c>
    </row>
    <row r="186" spans="2:8" x14ac:dyDescent="0.25">
      <c r="B186" s="180"/>
      <c r="C186" s="191" t="s">
        <v>21</v>
      </c>
      <c r="D186" s="95" t="s">
        <v>15</v>
      </c>
      <c r="E186" s="83">
        <v>207.01</v>
      </c>
      <c r="F186" s="78">
        <v>207.01</v>
      </c>
      <c r="G186" s="78">
        <v>414.02</v>
      </c>
      <c r="H186" s="78">
        <v>621.03</v>
      </c>
    </row>
    <row r="187" spans="2:8" x14ac:dyDescent="0.25">
      <c r="B187" s="180"/>
      <c r="C187" s="191"/>
      <c r="D187" s="95" t="s">
        <v>16</v>
      </c>
      <c r="E187" s="83">
        <v>211.16</v>
      </c>
      <c r="F187" s="78">
        <v>211.16</v>
      </c>
      <c r="G187" s="78">
        <v>422.31</v>
      </c>
      <c r="H187" s="78">
        <v>633.47</v>
      </c>
    </row>
    <row r="188" spans="2:8" x14ac:dyDescent="0.25">
      <c r="B188" s="180"/>
      <c r="C188" s="191"/>
      <c r="D188" s="95" t="s">
        <v>17</v>
      </c>
      <c r="E188" s="83">
        <v>215.37</v>
      </c>
      <c r="F188" s="78">
        <v>215.37</v>
      </c>
      <c r="G188" s="78">
        <v>430.75</v>
      </c>
      <c r="H188" s="78">
        <v>646.11</v>
      </c>
    </row>
    <row r="189" spans="2:8" x14ac:dyDescent="0.25">
      <c r="B189" s="180"/>
      <c r="C189" s="191"/>
      <c r="D189" s="95" t="s">
        <v>18</v>
      </c>
      <c r="E189" s="83">
        <v>219.69</v>
      </c>
      <c r="F189" s="78">
        <v>219.69</v>
      </c>
      <c r="G189" s="78">
        <v>439.36</v>
      </c>
      <c r="H189" s="78">
        <v>659.05</v>
      </c>
    </row>
    <row r="190" spans="2:8" x14ac:dyDescent="0.25">
      <c r="B190" s="180"/>
      <c r="C190" s="191"/>
      <c r="D190" s="95" t="s">
        <v>19</v>
      </c>
      <c r="E190" s="83">
        <v>224.08</v>
      </c>
      <c r="F190" s="78">
        <v>224.08</v>
      </c>
      <c r="G190" s="84">
        <v>448.15</v>
      </c>
      <c r="H190" s="78">
        <v>672.21</v>
      </c>
    </row>
    <row r="191" spans="2:8" x14ac:dyDescent="0.25">
      <c r="B191" s="180"/>
      <c r="C191" s="191"/>
      <c r="D191" s="95" t="s">
        <v>20</v>
      </c>
      <c r="E191" s="83">
        <v>228.56</v>
      </c>
      <c r="F191" s="78">
        <v>228.56</v>
      </c>
      <c r="G191" s="84">
        <v>457.11</v>
      </c>
      <c r="H191" s="78">
        <v>685.67</v>
      </c>
    </row>
    <row r="192" spans="2:8" x14ac:dyDescent="0.25">
      <c r="B192" s="180"/>
      <c r="C192" s="179" t="s">
        <v>112</v>
      </c>
      <c r="D192" s="95" t="s">
        <v>15</v>
      </c>
      <c r="E192" s="85">
        <v>233.12</v>
      </c>
      <c r="F192" s="86">
        <v>233.12</v>
      </c>
      <c r="G192" s="87">
        <v>466.25</v>
      </c>
      <c r="H192" s="78">
        <v>699.37</v>
      </c>
    </row>
    <row r="193" spans="2:8" x14ac:dyDescent="0.25">
      <c r="B193" s="180"/>
      <c r="C193" s="179"/>
      <c r="D193" s="95" t="s">
        <v>16</v>
      </c>
      <c r="E193" s="85">
        <v>237.8</v>
      </c>
      <c r="F193" s="86">
        <v>237.8</v>
      </c>
      <c r="G193" s="87">
        <v>475.58</v>
      </c>
      <c r="H193" s="78">
        <v>713.38</v>
      </c>
    </row>
    <row r="194" spans="2:8" x14ac:dyDescent="0.25">
      <c r="B194" s="180"/>
      <c r="C194" s="179"/>
      <c r="D194" s="95" t="s">
        <v>17</v>
      </c>
      <c r="E194" s="85">
        <v>242.55</v>
      </c>
      <c r="F194" s="86">
        <v>242.55</v>
      </c>
      <c r="G194" s="87">
        <v>485.09</v>
      </c>
      <c r="H194" s="78">
        <v>727.64</v>
      </c>
    </row>
    <row r="195" spans="2:8" x14ac:dyDescent="0.25">
      <c r="B195" s="180"/>
      <c r="C195" s="179"/>
      <c r="D195" s="95" t="s">
        <v>18</v>
      </c>
      <c r="E195" s="85">
        <v>247.4</v>
      </c>
      <c r="F195" s="86">
        <v>247.4</v>
      </c>
      <c r="G195" s="87">
        <v>494.8</v>
      </c>
      <c r="H195" s="78">
        <v>742.21</v>
      </c>
    </row>
    <row r="196" spans="2:8" x14ac:dyDescent="0.25">
      <c r="B196" s="180"/>
      <c r="C196" s="179"/>
      <c r="D196" s="95" t="s">
        <v>19</v>
      </c>
      <c r="E196" s="85">
        <v>252.35</v>
      </c>
      <c r="F196" s="86">
        <v>252.35</v>
      </c>
      <c r="G196" s="87">
        <v>504.69</v>
      </c>
      <c r="H196" s="78">
        <v>757.05</v>
      </c>
    </row>
    <row r="197" spans="2:8" x14ac:dyDescent="0.25">
      <c r="B197" s="190"/>
      <c r="C197" s="187"/>
      <c r="D197" s="97" t="s">
        <v>20</v>
      </c>
      <c r="E197" s="89">
        <v>257.39999999999998</v>
      </c>
      <c r="F197" s="90">
        <v>257.39999999999998</v>
      </c>
      <c r="G197" s="91">
        <v>514.79</v>
      </c>
      <c r="H197" s="92">
        <v>772.19</v>
      </c>
    </row>
    <row r="198" spans="2:8" x14ac:dyDescent="0.25">
      <c r="B198" s="180" t="s">
        <v>115</v>
      </c>
      <c r="C198" s="181" t="s">
        <v>116</v>
      </c>
      <c r="D198" s="181" t="s">
        <v>117</v>
      </c>
      <c r="E198" s="182" t="s">
        <v>106</v>
      </c>
      <c r="F198" s="182"/>
      <c r="G198" s="182"/>
      <c r="H198" s="182"/>
    </row>
    <row r="199" spans="2:8" ht="45" x14ac:dyDescent="0.25">
      <c r="B199" s="180"/>
      <c r="C199" s="181"/>
      <c r="D199" s="181"/>
      <c r="E199" s="96" t="s">
        <v>118</v>
      </c>
      <c r="F199" s="96" t="s">
        <v>107</v>
      </c>
      <c r="G199" s="96" t="s">
        <v>108</v>
      </c>
      <c r="H199" s="96" t="s">
        <v>109</v>
      </c>
    </row>
    <row r="200" spans="2:8" x14ac:dyDescent="0.25">
      <c r="B200" s="184" t="s">
        <v>120</v>
      </c>
      <c r="C200" s="183" t="s">
        <v>14</v>
      </c>
      <c r="D200" s="95" t="s">
        <v>15</v>
      </c>
      <c r="E200" s="78">
        <v>222.12</v>
      </c>
      <c r="F200" s="78">
        <v>222.12</v>
      </c>
      <c r="G200" s="78">
        <v>444.26</v>
      </c>
      <c r="H200" s="78">
        <v>666.38</v>
      </c>
    </row>
    <row r="201" spans="2:8" x14ac:dyDescent="0.25">
      <c r="B201" s="185"/>
      <c r="C201" s="183"/>
      <c r="D201" s="95" t="s">
        <v>16</v>
      </c>
      <c r="E201" s="78">
        <v>226.58</v>
      </c>
      <c r="F201" s="78">
        <v>226.58</v>
      </c>
      <c r="G201" s="78">
        <v>453.15</v>
      </c>
      <c r="H201" s="78">
        <v>679.74</v>
      </c>
    </row>
    <row r="202" spans="2:8" x14ac:dyDescent="0.25">
      <c r="B202" s="185"/>
      <c r="C202" s="183"/>
      <c r="D202" s="95" t="s">
        <v>17</v>
      </c>
      <c r="E202" s="78">
        <v>231.1</v>
      </c>
      <c r="F202" s="78">
        <v>231.1</v>
      </c>
      <c r="G202" s="78">
        <v>462.22</v>
      </c>
      <c r="H202" s="78">
        <v>693.32</v>
      </c>
    </row>
    <row r="203" spans="2:8" x14ac:dyDescent="0.25">
      <c r="B203" s="185"/>
      <c r="C203" s="183"/>
      <c r="D203" s="95" t="s">
        <v>18</v>
      </c>
      <c r="E203" s="78">
        <v>235.72</v>
      </c>
      <c r="F203" s="78">
        <v>235.72</v>
      </c>
      <c r="G203" s="78">
        <v>471.44</v>
      </c>
      <c r="H203" s="78">
        <v>707.16</v>
      </c>
    </row>
    <row r="204" spans="2:8" x14ac:dyDescent="0.25">
      <c r="B204" s="185"/>
      <c r="C204" s="183"/>
      <c r="D204" s="95" t="s">
        <v>19</v>
      </c>
      <c r="E204" s="78">
        <v>240.44</v>
      </c>
      <c r="F204" s="78">
        <v>240.44</v>
      </c>
      <c r="G204" s="78">
        <v>480.87</v>
      </c>
      <c r="H204" s="78">
        <v>721.31</v>
      </c>
    </row>
    <row r="205" spans="2:8" x14ac:dyDescent="0.25">
      <c r="B205" s="185"/>
      <c r="C205" s="183"/>
      <c r="D205" s="95" t="s">
        <v>20</v>
      </c>
      <c r="E205" s="78">
        <v>245.24</v>
      </c>
      <c r="F205" s="78">
        <v>245.24</v>
      </c>
      <c r="G205" s="78">
        <v>490.5</v>
      </c>
      <c r="H205" s="78">
        <v>735.74</v>
      </c>
    </row>
    <row r="206" spans="2:8" x14ac:dyDescent="0.25">
      <c r="B206" s="185"/>
      <c r="C206" s="183" t="s">
        <v>21</v>
      </c>
      <c r="D206" s="95" t="s">
        <v>15</v>
      </c>
      <c r="E206" s="78">
        <v>250.15</v>
      </c>
      <c r="F206" s="78">
        <v>250.15</v>
      </c>
      <c r="G206" s="78">
        <v>500.3</v>
      </c>
      <c r="H206" s="78">
        <v>750.45</v>
      </c>
    </row>
    <row r="207" spans="2:8" x14ac:dyDescent="0.25">
      <c r="B207" s="185"/>
      <c r="C207" s="183"/>
      <c r="D207" s="95" t="s">
        <v>16</v>
      </c>
      <c r="E207" s="78">
        <v>255.16</v>
      </c>
      <c r="F207" s="78">
        <v>255.16</v>
      </c>
      <c r="G207" s="78">
        <v>510.31</v>
      </c>
      <c r="H207" s="78">
        <v>765.48</v>
      </c>
    </row>
    <row r="208" spans="2:8" x14ac:dyDescent="0.25">
      <c r="B208" s="185"/>
      <c r="C208" s="183"/>
      <c r="D208" s="95" t="s">
        <v>17</v>
      </c>
      <c r="E208" s="78">
        <v>260.26</v>
      </c>
      <c r="F208" s="78">
        <v>260.26</v>
      </c>
      <c r="G208" s="78">
        <v>520.52</v>
      </c>
      <c r="H208" s="78">
        <v>780.78</v>
      </c>
    </row>
    <row r="209" spans="2:8" x14ac:dyDescent="0.25">
      <c r="B209" s="185"/>
      <c r="C209" s="183"/>
      <c r="D209" s="95" t="s">
        <v>18</v>
      </c>
      <c r="E209" s="78">
        <v>265.47000000000003</v>
      </c>
      <c r="F209" s="78">
        <v>265.47000000000003</v>
      </c>
      <c r="G209" s="78">
        <v>530.94000000000005</v>
      </c>
      <c r="H209" s="78">
        <v>796.4</v>
      </c>
    </row>
    <row r="210" spans="2:8" x14ac:dyDescent="0.25">
      <c r="B210" s="185"/>
      <c r="C210" s="183"/>
      <c r="D210" s="95" t="s">
        <v>19</v>
      </c>
      <c r="E210" s="78">
        <v>270.77</v>
      </c>
      <c r="F210" s="78">
        <v>270.77</v>
      </c>
      <c r="G210" s="78">
        <v>541.54</v>
      </c>
      <c r="H210" s="78">
        <v>812.3</v>
      </c>
    </row>
    <row r="211" spans="2:8" x14ac:dyDescent="0.25">
      <c r="B211" s="185"/>
      <c r="C211" s="183"/>
      <c r="D211" s="95" t="s">
        <v>20</v>
      </c>
      <c r="E211" s="78">
        <v>276.19</v>
      </c>
      <c r="F211" s="78">
        <v>276.19</v>
      </c>
      <c r="G211" s="78">
        <v>552.36</v>
      </c>
      <c r="H211" s="78">
        <v>828.55</v>
      </c>
    </row>
    <row r="212" spans="2:8" x14ac:dyDescent="0.25">
      <c r="B212" s="185"/>
      <c r="C212" s="187" t="s">
        <v>112</v>
      </c>
      <c r="D212" s="95" t="s">
        <v>15</v>
      </c>
      <c r="E212" s="78">
        <v>281.70999999999998</v>
      </c>
      <c r="F212" s="78">
        <v>281.70999999999998</v>
      </c>
      <c r="G212" s="78">
        <v>563.42999999999995</v>
      </c>
      <c r="H212" s="78">
        <v>845.14</v>
      </c>
    </row>
    <row r="213" spans="2:8" x14ac:dyDescent="0.25">
      <c r="B213" s="185"/>
      <c r="C213" s="188"/>
      <c r="D213" s="95" t="s">
        <v>16</v>
      </c>
      <c r="E213" s="78">
        <v>287.33999999999997</v>
      </c>
      <c r="F213" s="78">
        <v>287.33999999999997</v>
      </c>
      <c r="G213" s="78">
        <v>574.69000000000005</v>
      </c>
      <c r="H213" s="78">
        <v>862.02</v>
      </c>
    </row>
    <row r="214" spans="2:8" x14ac:dyDescent="0.25">
      <c r="B214" s="185"/>
      <c r="C214" s="188"/>
      <c r="D214" s="95" t="s">
        <v>17</v>
      </c>
      <c r="E214" s="78">
        <v>293.08999999999997</v>
      </c>
      <c r="F214" s="78">
        <v>293.08999999999997</v>
      </c>
      <c r="G214" s="78">
        <v>586.19000000000005</v>
      </c>
      <c r="H214" s="78">
        <v>879.28</v>
      </c>
    </row>
    <row r="215" spans="2:8" x14ac:dyDescent="0.25">
      <c r="B215" s="186"/>
      <c r="C215" s="189"/>
      <c r="D215" s="95" t="s">
        <v>18</v>
      </c>
      <c r="E215" s="78">
        <v>298.95</v>
      </c>
      <c r="F215" s="78">
        <v>298.95</v>
      </c>
      <c r="G215" s="78">
        <v>597.91</v>
      </c>
      <c r="H215" s="78">
        <v>896.86</v>
      </c>
    </row>
    <row r="216" spans="2:8" x14ac:dyDescent="0.25">
      <c r="B216" s="232"/>
      <c r="C216" s="187"/>
      <c r="D216" s="95" t="s">
        <v>19</v>
      </c>
      <c r="E216" s="78">
        <v>304.93</v>
      </c>
      <c r="F216" s="78">
        <v>304.93</v>
      </c>
      <c r="G216" s="78">
        <v>609.86</v>
      </c>
      <c r="H216" s="78">
        <v>914.8</v>
      </c>
    </row>
    <row r="217" spans="2:8" x14ac:dyDescent="0.25">
      <c r="B217" s="233"/>
      <c r="C217" s="189"/>
      <c r="D217" s="95" t="s">
        <v>20</v>
      </c>
      <c r="E217" s="78">
        <v>311.02</v>
      </c>
      <c r="F217" s="78">
        <v>311.08999999999997</v>
      </c>
      <c r="G217" s="78">
        <v>622.05999999999995</v>
      </c>
      <c r="H217" s="78">
        <v>933.09</v>
      </c>
    </row>
    <row r="219" spans="2:8" x14ac:dyDescent="0.25">
      <c r="B219" s="180" t="s">
        <v>115</v>
      </c>
      <c r="C219" s="181" t="s">
        <v>116</v>
      </c>
      <c r="D219" s="181" t="s">
        <v>117</v>
      </c>
      <c r="E219" s="182" t="s">
        <v>106</v>
      </c>
      <c r="F219" s="182"/>
      <c r="G219" s="182"/>
      <c r="H219" s="182"/>
    </row>
    <row r="220" spans="2:8" ht="45" x14ac:dyDescent="0.25">
      <c r="B220" s="180"/>
      <c r="C220" s="181"/>
      <c r="D220" s="181"/>
      <c r="E220" s="96" t="s">
        <v>118</v>
      </c>
      <c r="F220" s="96" t="s">
        <v>107</v>
      </c>
      <c r="G220" s="96" t="s">
        <v>108</v>
      </c>
      <c r="H220" s="96" t="s">
        <v>109</v>
      </c>
    </row>
    <row r="221" spans="2:8" x14ac:dyDescent="0.25">
      <c r="B221" s="183" t="s">
        <v>138</v>
      </c>
      <c r="C221" s="179" t="s">
        <v>14</v>
      </c>
      <c r="D221" s="95" t="s">
        <v>15</v>
      </c>
      <c r="E221" s="78">
        <v>151.38999999999999</v>
      </c>
      <c r="F221" s="78">
        <v>151.38999999999999</v>
      </c>
      <c r="G221" s="78">
        <v>302.76</v>
      </c>
      <c r="H221" s="78">
        <v>454.15</v>
      </c>
    </row>
    <row r="222" spans="2:8" x14ac:dyDescent="0.25">
      <c r="B222" s="183"/>
      <c r="C222" s="179"/>
      <c r="D222" s="95" t="s">
        <v>16</v>
      </c>
      <c r="E222" s="78">
        <v>154.41</v>
      </c>
      <c r="F222" s="78">
        <v>154.41</v>
      </c>
      <c r="G222" s="78">
        <v>308.82</v>
      </c>
      <c r="H222" s="78">
        <v>463.22</v>
      </c>
    </row>
    <row r="223" spans="2:8" x14ac:dyDescent="0.25">
      <c r="B223" s="183"/>
      <c r="C223" s="179"/>
      <c r="D223" s="95" t="s">
        <v>17</v>
      </c>
      <c r="E223" s="78">
        <v>157.49</v>
      </c>
      <c r="F223" s="78">
        <v>157.49</v>
      </c>
      <c r="G223" s="78">
        <v>314.99</v>
      </c>
      <c r="H223" s="78">
        <v>472.48</v>
      </c>
    </row>
    <row r="224" spans="2:8" x14ac:dyDescent="0.25">
      <c r="B224" s="183"/>
      <c r="C224" s="179"/>
      <c r="D224" s="95" t="s">
        <v>18</v>
      </c>
      <c r="E224" s="78">
        <v>160.65</v>
      </c>
      <c r="F224" s="78">
        <v>160.65</v>
      </c>
      <c r="G224" s="78">
        <v>321.27999999999997</v>
      </c>
      <c r="H224" s="78">
        <v>481.93</v>
      </c>
    </row>
    <row r="225" spans="2:8" x14ac:dyDescent="0.25">
      <c r="B225" s="183"/>
      <c r="C225" s="179"/>
      <c r="D225" s="95" t="s">
        <v>19</v>
      </c>
      <c r="E225" s="78">
        <v>163.85</v>
      </c>
      <c r="F225" s="78">
        <v>163.85</v>
      </c>
      <c r="G225" s="78">
        <v>327.71</v>
      </c>
      <c r="H225" s="78">
        <v>491.57</v>
      </c>
    </row>
    <row r="226" spans="2:8" x14ac:dyDescent="0.25">
      <c r="B226" s="183"/>
      <c r="C226" s="179"/>
      <c r="D226" s="95" t="s">
        <v>20</v>
      </c>
      <c r="E226" s="78">
        <v>167.14</v>
      </c>
      <c r="F226" s="78">
        <v>167.14</v>
      </c>
      <c r="G226" s="78">
        <v>334.28</v>
      </c>
      <c r="H226" s="78">
        <v>501.42</v>
      </c>
    </row>
    <row r="227" spans="2:8" x14ac:dyDescent="0.25">
      <c r="B227" s="183"/>
      <c r="C227" s="179" t="s">
        <v>21</v>
      </c>
      <c r="D227" s="95" t="s">
        <v>15</v>
      </c>
      <c r="E227" s="78">
        <v>170.47</v>
      </c>
      <c r="F227" s="78">
        <v>170.47</v>
      </c>
      <c r="G227" s="78">
        <v>340.95</v>
      </c>
      <c r="H227" s="78">
        <v>511.42</v>
      </c>
    </row>
    <row r="228" spans="2:8" x14ac:dyDescent="0.25">
      <c r="B228" s="183"/>
      <c r="C228" s="179"/>
      <c r="D228" s="95" t="s">
        <v>16</v>
      </c>
      <c r="E228" s="78">
        <v>173.88</v>
      </c>
      <c r="F228" s="78">
        <v>173.88</v>
      </c>
      <c r="G228" s="78">
        <v>347.77</v>
      </c>
      <c r="H228" s="78">
        <v>521.65</v>
      </c>
    </row>
    <row r="229" spans="2:8" x14ac:dyDescent="0.25">
      <c r="B229" s="183"/>
      <c r="C229" s="179"/>
      <c r="D229" s="95" t="s">
        <v>17</v>
      </c>
      <c r="E229" s="78">
        <v>177.37</v>
      </c>
      <c r="F229" s="78">
        <v>177.37</v>
      </c>
      <c r="G229" s="78">
        <v>354.73</v>
      </c>
      <c r="H229" s="78">
        <v>532.1</v>
      </c>
    </row>
    <row r="230" spans="2:8" x14ac:dyDescent="0.25">
      <c r="B230" s="183"/>
      <c r="C230" s="179"/>
      <c r="D230" s="95" t="s">
        <v>18</v>
      </c>
      <c r="E230" s="78">
        <v>180.91</v>
      </c>
      <c r="F230" s="78">
        <v>180.91</v>
      </c>
      <c r="G230" s="78">
        <v>361.81</v>
      </c>
      <c r="H230" s="78">
        <v>542.73</v>
      </c>
    </row>
    <row r="231" spans="2:8" x14ac:dyDescent="0.25">
      <c r="B231" s="183"/>
      <c r="C231" s="179"/>
      <c r="D231" s="95" t="s">
        <v>19</v>
      </c>
      <c r="E231" s="78">
        <v>184.53</v>
      </c>
      <c r="F231" s="78">
        <v>184.53</v>
      </c>
      <c r="G231" s="78">
        <v>369.06</v>
      </c>
      <c r="H231" s="78">
        <v>553.58000000000004</v>
      </c>
    </row>
    <row r="232" spans="2:8" x14ac:dyDescent="0.25">
      <c r="B232" s="183"/>
      <c r="C232" s="179"/>
      <c r="D232" s="95" t="s">
        <v>20</v>
      </c>
      <c r="E232" s="78">
        <v>188.22</v>
      </c>
      <c r="F232" s="78">
        <v>188.22</v>
      </c>
      <c r="G232" s="78">
        <v>376.45</v>
      </c>
      <c r="H232" s="78">
        <v>564.66999999999996</v>
      </c>
    </row>
    <row r="233" spans="2:8" x14ac:dyDescent="0.25">
      <c r="B233" s="183"/>
      <c r="C233" s="179" t="s">
        <v>112</v>
      </c>
      <c r="D233" s="95" t="s">
        <v>15</v>
      </c>
      <c r="E233" s="78">
        <v>191.98</v>
      </c>
      <c r="F233" s="78">
        <v>191.98</v>
      </c>
      <c r="G233" s="78">
        <v>383.97</v>
      </c>
      <c r="H233" s="78">
        <v>575.95000000000005</v>
      </c>
    </row>
    <row r="234" spans="2:8" x14ac:dyDescent="0.25">
      <c r="B234" s="183"/>
      <c r="C234" s="179"/>
      <c r="D234" s="95" t="s">
        <v>16</v>
      </c>
      <c r="E234" s="78">
        <v>195.83</v>
      </c>
      <c r="F234" s="78">
        <v>195.83</v>
      </c>
      <c r="G234" s="78">
        <v>391.65</v>
      </c>
      <c r="H234" s="78">
        <v>587.49</v>
      </c>
    </row>
    <row r="235" spans="2:8" x14ac:dyDescent="0.25">
      <c r="B235" s="183"/>
      <c r="C235" s="179"/>
      <c r="D235" s="95" t="s">
        <v>17</v>
      </c>
      <c r="E235" s="78">
        <v>199.74</v>
      </c>
      <c r="F235" s="78">
        <v>199.74</v>
      </c>
      <c r="G235" s="78">
        <v>399.48</v>
      </c>
      <c r="H235" s="78">
        <v>599.23</v>
      </c>
    </row>
    <row r="236" spans="2:8" x14ac:dyDescent="0.25">
      <c r="B236" s="183"/>
      <c r="C236" s="179"/>
      <c r="D236" s="95" t="s">
        <v>18</v>
      </c>
      <c r="E236" s="78">
        <v>203.73</v>
      </c>
      <c r="F236" s="78">
        <v>203.73</v>
      </c>
      <c r="G236" s="78">
        <v>407.48</v>
      </c>
      <c r="H236" s="78">
        <v>611.21</v>
      </c>
    </row>
    <row r="237" spans="2:8" x14ac:dyDescent="0.25">
      <c r="B237" s="183"/>
      <c r="C237" s="179"/>
      <c r="D237" s="95" t="s">
        <v>19</v>
      </c>
      <c r="E237" s="78">
        <v>207.8</v>
      </c>
      <c r="F237" s="78">
        <v>207.8</v>
      </c>
      <c r="G237" s="78">
        <v>415.61</v>
      </c>
      <c r="H237" s="78">
        <v>623.42999999999995</v>
      </c>
    </row>
    <row r="238" spans="2:8" x14ac:dyDescent="0.25">
      <c r="B238" s="183"/>
      <c r="C238" s="179"/>
      <c r="D238" s="95" t="s">
        <v>20</v>
      </c>
      <c r="E238" s="78">
        <v>211.96</v>
      </c>
      <c r="F238" s="78">
        <v>211.96</v>
      </c>
      <c r="G238" s="78">
        <v>423.93</v>
      </c>
      <c r="H238" s="78">
        <v>635.9</v>
      </c>
    </row>
    <row r="241" spans="2:8" x14ac:dyDescent="0.25">
      <c r="B241" t="s">
        <v>122</v>
      </c>
    </row>
    <row r="242" spans="2:8" x14ac:dyDescent="0.25">
      <c r="B242" s="179" t="s">
        <v>123</v>
      </c>
      <c r="C242" s="179"/>
      <c r="D242" s="179"/>
      <c r="E242" s="179"/>
      <c r="F242" s="179"/>
      <c r="G242" s="179"/>
      <c r="H242" s="179"/>
    </row>
    <row r="243" spans="2:8" x14ac:dyDescent="0.25">
      <c r="B243" s="180" t="s">
        <v>115</v>
      </c>
      <c r="C243" s="181" t="s">
        <v>116</v>
      </c>
      <c r="D243" s="181" t="s">
        <v>117</v>
      </c>
      <c r="E243" s="182" t="s">
        <v>106</v>
      </c>
      <c r="F243" s="182"/>
      <c r="G243" s="182"/>
      <c r="H243" s="182"/>
    </row>
    <row r="244" spans="2:8" ht="45" x14ac:dyDescent="0.25">
      <c r="B244" s="180"/>
      <c r="C244" s="181"/>
      <c r="D244" s="181"/>
      <c r="E244" s="96" t="s">
        <v>118</v>
      </c>
      <c r="F244" s="96" t="s">
        <v>107</v>
      </c>
      <c r="G244" s="96" t="s">
        <v>108</v>
      </c>
      <c r="H244" s="96" t="s">
        <v>109</v>
      </c>
    </row>
    <row r="245" spans="2:8" x14ac:dyDescent="0.25">
      <c r="B245" s="183" t="s">
        <v>124</v>
      </c>
      <c r="C245" s="179" t="s">
        <v>14</v>
      </c>
      <c r="D245" s="94" t="s">
        <v>15</v>
      </c>
      <c r="E245" s="78">
        <v>128.21</v>
      </c>
      <c r="F245" s="78">
        <v>128.21</v>
      </c>
      <c r="G245" s="78">
        <v>256.43</v>
      </c>
      <c r="H245" s="78">
        <v>384.65</v>
      </c>
    </row>
    <row r="246" spans="2:8" x14ac:dyDescent="0.25">
      <c r="B246" s="183"/>
      <c r="C246" s="179"/>
      <c r="D246" s="94" t="s">
        <v>16</v>
      </c>
      <c r="E246" s="78">
        <v>130.78</v>
      </c>
      <c r="F246" s="78">
        <v>130.78</v>
      </c>
      <c r="G246" s="78">
        <v>261.55</v>
      </c>
      <c r="H246" s="78">
        <v>392.33</v>
      </c>
    </row>
    <row r="247" spans="2:8" x14ac:dyDescent="0.25">
      <c r="B247" s="183"/>
      <c r="C247" s="179"/>
      <c r="D247" s="94" t="s">
        <v>17</v>
      </c>
      <c r="E247" s="78">
        <v>133.38999999999999</v>
      </c>
      <c r="F247" s="78">
        <v>133.38999999999999</v>
      </c>
      <c r="G247" s="78">
        <v>266.8</v>
      </c>
      <c r="H247" s="78">
        <v>400.19</v>
      </c>
    </row>
    <row r="248" spans="2:8" x14ac:dyDescent="0.25">
      <c r="B248" s="183"/>
      <c r="C248" s="179"/>
      <c r="D248" s="94" t="s">
        <v>18</v>
      </c>
      <c r="E248" s="78">
        <v>136.07</v>
      </c>
      <c r="F248" s="78">
        <v>136.07</v>
      </c>
      <c r="G248" s="78">
        <v>272.13</v>
      </c>
      <c r="H248" s="78">
        <v>408.2</v>
      </c>
    </row>
    <row r="249" spans="2:8" x14ac:dyDescent="0.25">
      <c r="B249" s="183"/>
      <c r="C249" s="179"/>
      <c r="D249" s="94" t="s">
        <v>19</v>
      </c>
      <c r="E249" s="78">
        <v>138.78</v>
      </c>
      <c r="F249" s="78">
        <v>138.78</v>
      </c>
      <c r="G249" s="78">
        <v>277.56</v>
      </c>
      <c r="H249" s="78">
        <v>416.34</v>
      </c>
    </row>
    <row r="250" spans="2:8" x14ac:dyDescent="0.25">
      <c r="B250" s="183"/>
      <c r="C250" s="179"/>
      <c r="D250" s="94" t="s">
        <v>20</v>
      </c>
      <c r="E250" s="78">
        <v>141.56</v>
      </c>
      <c r="F250" s="78">
        <v>141.56</v>
      </c>
      <c r="G250" s="78">
        <v>283.13</v>
      </c>
      <c r="H250" s="78">
        <v>424.69</v>
      </c>
    </row>
    <row r="251" spans="2:8" x14ac:dyDescent="0.25">
      <c r="B251" s="183"/>
      <c r="C251" s="183" t="s">
        <v>21</v>
      </c>
      <c r="D251" s="94" t="s">
        <v>15</v>
      </c>
      <c r="E251" s="78">
        <v>144.38999999999999</v>
      </c>
      <c r="F251" s="78">
        <v>144.38999999999999</v>
      </c>
      <c r="G251" s="78">
        <v>288.77999999999997</v>
      </c>
      <c r="H251" s="78">
        <v>433.18</v>
      </c>
    </row>
    <row r="252" spans="2:8" x14ac:dyDescent="0.25">
      <c r="B252" s="183"/>
      <c r="C252" s="183"/>
      <c r="D252" s="94" t="s">
        <v>16</v>
      </c>
      <c r="E252" s="78">
        <v>147.28</v>
      </c>
      <c r="F252" s="78">
        <v>147.28</v>
      </c>
      <c r="G252" s="78">
        <v>294.56</v>
      </c>
      <c r="H252" s="78">
        <v>441.84</v>
      </c>
    </row>
    <row r="253" spans="2:8" x14ac:dyDescent="0.25">
      <c r="B253" s="183"/>
      <c r="C253" s="183"/>
      <c r="D253" s="94" t="s">
        <v>17</v>
      </c>
      <c r="E253" s="78">
        <v>150.22</v>
      </c>
      <c r="F253" s="78">
        <v>150.22</v>
      </c>
      <c r="G253" s="78">
        <v>300.43</v>
      </c>
      <c r="H253" s="78">
        <v>450.65</v>
      </c>
    </row>
    <row r="254" spans="2:8" x14ac:dyDescent="0.25">
      <c r="B254" s="183"/>
      <c r="C254" s="183"/>
      <c r="D254" s="94" t="s">
        <v>18</v>
      </c>
      <c r="E254" s="78">
        <v>153.22999999999999</v>
      </c>
      <c r="F254" s="78">
        <v>153.22999999999999</v>
      </c>
      <c r="G254" s="78">
        <v>306.45999999999998</v>
      </c>
      <c r="H254" s="78">
        <v>459.69</v>
      </c>
    </row>
    <row r="255" spans="2:8" x14ac:dyDescent="0.25">
      <c r="B255" s="183"/>
      <c r="C255" s="183"/>
      <c r="D255" s="94" t="s">
        <v>19</v>
      </c>
      <c r="E255" s="78">
        <v>156.30000000000001</v>
      </c>
      <c r="F255" s="78">
        <v>156.30000000000001</v>
      </c>
      <c r="G255" s="78">
        <v>312.58999999999997</v>
      </c>
      <c r="H255" s="78">
        <v>468.89</v>
      </c>
    </row>
    <row r="256" spans="2:8" x14ac:dyDescent="0.25">
      <c r="B256" s="183"/>
      <c r="C256" s="183"/>
      <c r="D256" s="94" t="s">
        <v>20</v>
      </c>
      <c r="E256" s="78">
        <v>159.41999999999999</v>
      </c>
      <c r="F256" s="78">
        <v>159.41999999999999</v>
      </c>
      <c r="G256" s="78">
        <v>318.83</v>
      </c>
      <c r="H256" s="78">
        <v>478.26</v>
      </c>
    </row>
    <row r="257" spans="2:8" x14ac:dyDescent="0.25">
      <c r="B257" s="183"/>
      <c r="C257" s="179" t="s">
        <v>112</v>
      </c>
      <c r="D257" s="94" t="s">
        <v>15</v>
      </c>
      <c r="E257" s="78">
        <v>162.61000000000001</v>
      </c>
      <c r="F257" s="78">
        <v>162.61000000000001</v>
      </c>
      <c r="G257" s="78">
        <v>325.22000000000003</v>
      </c>
      <c r="H257" s="78">
        <v>487.83</v>
      </c>
    </row>
    <row r="258" spans="2:8" x14ac:dyDescent="0.25">
      <c r="B258" s="183"/>
      <c r="C258" s="179"/>
      <c r="D258" s="94" t="s">
        <v>16</v>
      </c>
      <c r="E258" s="78">
        <v>165.86</v>
      </c>
      <c r="F258" s="78">
        <v>165.86</v>
      </c>
      <c r="G258" s="78">
        <v>331.72</v>
      </c>
      <c r="H258" s="78">
        <v>497.58</v>
      </c>
    </row>
    <row r="259" spans="2:8" x14ac:dyDescent="0.25">
      <c r="B259" s="183"/>
      <c r="C259" s="179"/>
      <c r="D259" s="94" t="s">
        <v>17</v>
      </c>
      <c r="E259" s="78">
        <v>169.17</v>
      </c>
      <c r="F259" s="78">
        <v>169.17</v>
      </c>
      <c r="G259" s="93">
        <v>338.36</v>
      </c>
      <c r="H259" s="78">
        <v>507.54</v>
      </c>
    </row>
    <row r="260" spans="2:8" x14ac:dyDescent="0.25">
      <c r="B260" s="183"/>
      <c r="C260" s="179"/>
      <c r="D260" s="94" t="s">
        <v>18</v>
      </c>
      <c r="E260" s="78">
        <v>172.55</v>
      </c>
      <c r="F260" s="78">
        <v>172.55</v>
      </c>
      <c r="G260" s="93">
        <v>345.11</v>
      </c>
      <c r="H260" s="78">
        <v>517.66</v>
      </c>
    </row>
    <row r="261" spans="2:8" x14ac:dyDescent="0.25">
      <c r="B261" s="183"/>
      <c r="C261" s="179"/>
      <c r="D261" s="94" t="s">
        <v>19</v>
      </c>
      <c r="E261" s="78">
        <v>176.01</v>
      </c>
      <c r="F261" s="78">
        <v>176.01</v>
      </c>
      <c r="G261" s="78">
        <v>352.01</v>
      </c>
      <c r="H261" s="78">
        <v>528.02</v>
      </c>
    </row>
    <row r="262" spans="2:8" x14ac:dyDescent="0.25">
      <c r="B262" s="183"/>
      <c r="C262" s="179"/>
      <c r="D262" s="94" t="s">
        <v>20</v>
      </c>
      <c r="E262" s="78">
        <v>179.52</v>
      </c>
      <c r="F262" s="78">
        <v>179.52</v>
      </c>
      <c r="G262" s="78">
        <v>359.06</v>
      </c>
      <c r="H262" s="78">
        <v>538.57000000000005</v>
      </c>
    </row>
  </sheetData>
  <mergeCells count="101">
    <mergeCell ref="B245:B262"/>
    <mergeCell ref="C245:C250"/>
    <mergeCell ref="C251:C256"/>
    <mergeCell ref="C257:C262"/>
    <mergeCell ref="B221:B238"/>
    <mergeCell ref="C221:C226"/>
    <mergeCell ref="C227:C232"/>
    <mergeCell ref="C233:C238"/>
    <mergeCell ref="B242:H242"/>
    <mergeCell ref="B243:B244"/>
    <mergeCell ref="C243:C244"/>
    <mergeCell ref="D243:D244"/>
    <mergeCell ref="E243:H243"/>
    <mergeCell ref="B216:B217"/>
    <mergeCell ref="C216:C217"/>
    <mergeCell ref="B219:B220"/>
    <mergeCell ref="C219:C220"/>
    <mergeCell ref="D219:D220"/>
    <mergeCell ref="E219:H219"/>
    <mergeCell ref="D198:D199"/>
    <mergeCell ref="E198:H198"/>
    <mergeCell ref="B200:B215"/>
    <mergeCell ref="C200:C205"/>
    <mergeCell ref="C206:C211"/>
    <mergeCell ref="C212:C215"/>
    <mergeCell ref="B180:B197"/>
    <mergeCell ref="C180:C185"/>
    <mergeCell ref="C186:C191"/>
    <mergeCell ref="C192:C197"/>
    <mergeCell ref="B198:B199"/>
    <mergeCell ref="C198:C199"/>
    <mergeCell ref="B161:B166"/>
    <mergeCell ref="C161:C166"/>
    <mergeCell ref="B167:B172"/>
    <mergeCell ref="C167:C172"/>
    <mergeCell ref="B177:H177"/>
    <mergeCell ref="B178:B179"/>
    <mergeCell ref="C178:C179"/>
    <mergeCell ref="D178:D179"/>
    <mergeCell ref="E178:H178"/>
    <mergeCell ref="B133:C133"/>
    <mergeCell ref="D133:G133"/>
    <mergeCell ref="H133:J133"/>
    <mergeCell ref="K133:N133"/>
    <mergeCell ref="E153:G153"/>
    <mergeCell ref="B155:B160"/>
    <mergeCell ref="C155:C160"/>
    <mergeCell ref="B131:C131"/>
    <mergeCell ref="D131:G131"/>
    <mergeCell ref="H131:J131"/>
    <mergeCell ref="K131:N131"/>
    <mergeCell ref="B132:C132"/>
    <mergeCell ref="D132:G132"/>
    <mergeCell ref="H132:J132"/>
    <mergeCell ref="K132:N132"/>
    <mergeCell ref="B129:C129"/>
    <mergeCell ref="D129:G129"/>
    <mergeCell ref="H129:J129"/>
    <mergeCell ref="K129:N129"/>
    <mergeCell ref="B130:C130"/>
    <mergeCell ref="D130:G130"/>
    <mergeCell ref="H130:J130"/>
    <mergeCell ref="K130:N130"/>
    <mergeCell ref="B127:C127"/>
    <mergeCell ref="D127:G127"/>
    <mergeCell ref="H127:J127"/>
    <mergeCell ref="K127:N127"/>
    <mergeCell ref="B128:C128"/>
    <mergeCell ref="D128:G128"/>
    <mergeCell ref="H128:J128"/>
    <mergeCell ref="K128:N128"/>
    <mergeCell ref="B92:B97"/>
    <mergeCell ref="B98:B103"/>
    <mergeCell ref="B126:C126"/>
    <mergeCell ref="D126:G126"/>
    <mergeCell ref="H126:J126"/>
    <mergeCell ref="K126:N126"/>
    <mergeCell ref="B65:B70"/>
    <mergeCell ref="B71:B76"/>
    <mergeCell ref="B82:F82"/>
    <mergeCell ref="B83:C84"/>
    <mergeCell ref="D83:F83"/>
    <mergeCell ref="B86:B91"/>
    <mergeCell ref="B56:C57"/>
    <mergeCell ref="F56:G56"/>
    <mergeCell ref="B59:B64"/>
    <mergeCell ref="B21:B26"/>
    <mergeCell ref="B30:I30"/>
    <mergeCell ref="B31:C32"/>
    <mergeCell ref="F31:G31"/>
    <mergeCell ref="H31:I31"/>
    <mergeCell ref="B34:B39"/>
    <mergeCell ref="B5:I5"/>
    <mergeCell ref="B6:C7"/>
    <mergeCell ref="D6:F6"/>
    <mergeCell ref="G6:H6"/>
    <mergeCell ref="B9:B14"/>
    <mergeCell ref="B15:B20"/>
    <mergeCell ref="B40:B45"/>
    <mergeCell ref="B46:B51"/>
    <mergeCell ref="B55:G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topLeftCell="A77" zoomScaleNormal="100" workbookViewId="0">
      <selection activeCell="I206" sqref="I206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7.140625" customWidth="1"/>
    <col min="11" max="11" width="11.140625" bestFit="1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2" spans="2:9" ht="21" x14ac:dyDescent="0.35">
      <c r="B2" s="178" t="s">
        <v>681</v>
      </c>
      <c r="C2" s="178"/>
      <c r="D2" s="178"/>
      <c r="E2" s="178"/>
      <c r="F2" s="178"/>
      <c r="G2" s="178"/>
      <c r="H2" s="178"/>
      <c r="I2" s="178"/>
    </row>
    <row r="5" spans="2:9" x14ac:dyDescent="0.25">
      <c r="B5" s="218" t="s">
        <v>643</v>
      </c>
      <c r="C5" s="219"/>
      <c r="D5" s="117" t="s">
        <v>644</v>
      </c>
      <c r="E5" s="117" t="s">
        <v>641</v>
      </c>
      <c r="F5" s="117" t="s">
        <v>642</v>
      </c>
    </row>
    <row r="6" spans="2:9" x14ac:dyDescent="0.25">
      <c r="B6" s="220" t="s">
        <v>646</v>
      </c>
      <c r="C6" s="221"/>
      <c r="D6" s="118">
        <v>37589.96</v>
      </c>
      <c r="E6" s="118">
        <v>39717.69</v>
      </c>
      <c r="F6" s="118">
        <v>41845.49</v>
      </c>
    </row>
    <row r="7" spans="2:9" x14ac:dyDescent="0.25">
      <c r="B7" s="220" t="s">
        <v>645</v>
      </c>
      <c r="C7" s="221"/>
      <c r="D7" s="118">
        <v>35710.46</v>
      </c>
      <c r="E7" s="118">
        <v>37731.800000000003</v>
      </c>
      <c r="F7" s="118">
        <v>39753.21</v>
      </c>
    </row>
    <row r="8" spans="2:9" x14ac:dyDescent="0.25">
      <c r="B8" t="s">
        <v>670</v>
      </c>
    </row>
    <row r="10" spans="2:9" x14ac:dyDescent="0.25">
      <c r="B10" s="222" t="s">
        <v>672</v>
      </c>
      <c r="C10" s="215" t="s">
        <v>673</v>
      </c>
      <c r="D10" s="215"/>
      <c r="E10" s="215"/>
      <c r="F10" s="125" t="s">
        <v>674</v>
      </c>
    </row>
    <row r="11" spans="2:9" x14ac:dyDescent="0.25">
      <c r="B11" s="222"/>
      <c r="C11" s="215" t="s">
        <v>675</v>
      </c>
      <c r="D11" s="215"/>
      <c r="E11" s="215"/>
      <c r="F11" s="125" t="s">
        <v>676</v>
      </c>
    </row>
    <row r="12" spans="2:9" x14ac:dyDescent="0.25">
      <c r="B12" s="212" t="s">
        <v>671</v>
      </c>
      <c r="C12" s="213"/>
      <c r="D12" s="213"/>
      <c r="E12" s="126"/>
    </row>
    <row r="13" spans="2:9" x14ac:dyDescent="0.25">
      <c r="B13" s="126"/>
      <c r="C13" s="126"/>
      <c r="D13" s="127"/>
      <c r="E13" s="126"/>
    </row>
    <row r="14" spans="2:9" ht="28.5" customHeight="1" x14ac:dyDescent="0.25">
      <c r="B14" s="214" t="s">
        <v>677</v>
      </c>
      <c r="C14" s="215" t="s">
        <v>684</v>
      </c>
      <c r="D14" s="215"/>
      <c r="E14" s="215"/>
      <c r="F14" s="125" t="s">
        <v>674</v>
      </c>
    </row>
    <row r="15" spans="2:9" ht="47.25" customHeight="1" x14ac:dyDescent="0.25">
      <c r="B15" s="214"/>
      <c r="C15" s="214" t="s">
        <v>679</v>
      </c>
      <c r="D15" s="214"/>
      <c r="E15" s="214"/>
      <c r="F15" s="125" t="s">
        <v>676</v>
      </c>
    </row>
    <row r="16" spans="2:9" ht="31.5" customHeight="1" x14ac:dyDescent="0.25">
      <c r="B16" s="216" t="s">
        <v>683</v>
      </c>
      <c r="C16" s="213"/>
      <c r="D16" s="213"/>
      <c r="E16" s="126"/>
    </row>
    <row r="17" spans="2:9" x14ac:dyDescent="0.25">
      <c r="B17" s="126"/>
      <c r="C17" s="126"/>
      <c r="D17" s="127"/>
      <c r="E17" s="126"/>
    </row>
    <row r="18" spans="2:9" x14ac:dyDescent="0.25">
      <c r="B18" s="217" t="s">
        <v>627</v>
      </c>
      <c r="C18" s="217"/>
      <c r="D18" s="127"/>
      <c r="E18" s="126"/>
    </row>
    <row r="19" spans="2:9" ht="31.5" customHeight="1" x14ac:dyDescent="0.25">
      <c r="B19" s="210" t="s">
        <v>640</v>
      </c>
      <c r="C19" s="211"/>
      <c r="D19" s="127"/>
      <c r="E19" s="126"/>
    </row>
    <row r="20" spans="2:9" x14ac:dyDescent="0.25">
      <c r="B20" s="128" t="s">
        <v>682</v>
      </c>
      <c r="C20" s="126"/>
      <c r="D20" s="127"/>
      <c r="E20" s="126"/>
    </row>
    <row r="21" spans="2:9" x14ac:dyDescent="0.25">
      <c r="B21" s="126"/>
      <c r="C21" s="126"/>
      <c r="D21" s="126"/>
      <c r="E21" s="126"/>
    </row>
    <row r="24" spans="2:9" ht="21" x14ac:dyDescent="0.35">
      <c r="B24" s="178" t="s">
        <v>647</v>
      </c>
      <c r="C24" s="178"/>
      <c r="D24" s="178"/>
      <c r="E24" s="178"/>
      <c r="F24" s="178"/>
      <c r="G24" s="178"/>
      <c r="H24" s="178"/>
      <c r="I24" s="178"/>
    </row>
    <row r="27" spans="2:9" x14ac:dyDescent="0.25">
      <c r="B27" s="205" t="s">
        <v>2</v>
      </c>
      <c r="C27" s="205"/>
      <c r="D27" s="205"/>
      <c r="E27" s="205"/>
      <c r="F27" s="205"/>
      <c r="G27" s="205"/>
      <c r="H27" s="205"/>
      <c r="I27" s="205"/>
    </row>
    <row r="29" spans="2:9" x14ac:dyDescent="0.25">
      <c r="B29" s="204" t="s">
        <v>3</v>
      </c>
      <c r="C29" s="204"/>
      <c r="D29" s="204"/>
      <c r="E29" s="204"/>
      <c r="F29" s="204"/>
      <c r="G29" s="204"/>
      <c r="H29" s="204"/>
      <c r="I29" s="204"/>
    </row>
    <row r="30" spans="2:9" x14ac:dyDescent="0.25">
      <c r="B30" s="183" t="s">
        <v>4</v>
      </c>
      <c r="C30" s="183"/>
      <c r="D30" s="204" t="s">
        <v>5</v>
      </c>
      <c r="E30" s="204"/>
      <c r="F30" s="204"/>
      <c r="G30" s="183" t="s">
        <v>6</v>
      </c>
      <c r="H30" s="183"/>
      <c r="I30" s="2" t="s">
        <v>7</v>
      </c>
    </row>
    <row r="31" spans="2:9" ht="45" x14ac:dyDescent="0.25">
      <c r="B31" s="183"/>
      <c r="C31" s="183"/>
      <c r="D31" s="108" t="s">
        <v>8</v>
      </c>
      <c r="E31" s="109" t="s">
        <v>9</v>
      </c>
      <c r="F31" s="109" t="s">
        <v>10</v>
      </c>
      <c r="G31" s="109" t="s">
        <v>8</v>
      </c>
      <c r="H31" s="109" t="s">
        <v>9</v>
      </c>
      <c r="I31" s="109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9" x14ac:dyDescent="0.25">
      <c r="B33" s="181" t="s">
        <v>14</v>
      </c>
      <c r="C33" s="103" t="s">
        <v>15</v>
      </c>
      <c r="D33" s="3">
        <v>8303.34</v>
      </c>
      <c r="E33" s="3">
        <v>4226.24</v>
      </c>
      <c r="F33" s="3">
        <v>2691.46</v>
      </c>
      <c r="G33" s="3"/>
      <c r="H33" s="3"/>
      <c r="I33" s="3"/>
    </row>
    <row r="34" spans="2:9" x14ac:dyDescent="0.25">
      <c r="B34" s="181"/>
      <c r="C34" s="103" t="s">
        <v>16</v>
      </c>
      <c r="D34" s="3">
        <v>8552.44</v>
      </c>
      <c r="E34" s="3">
        <v>4353.0200000000004</v>
      </c>
      <c r="F34" s="3">
        <v>2772.2</v>
      </c>
      <c r="G34" s="3"/>
      <c r="H34" s="3"/>
      <c r="I34" s="3"/>
    </row>
    <row r="35" spans="2:9" x14ac:dyDescent="0.25">
      <c r="B35" s="181"/>
      <c r="C35" s="103" t="s">
        <v>17</v>
      </c>
      <c r="D35" s="3">
        <v>8809.01</v>
      </c>
      <c r="E35" s="3">
        <v>4483.6099999999997</v>
      </c>
      <c r="F35" s="3">
        <v>2855.36</v>
      </c>
      <c r="G35" s="3"/>
      <c r="H35" s="3"/>
      <c r="I35" s="3"/>
    </row>
    <row r="36" spans="2:9" x14ac:dyDescent="0.25">
      <c r="B36" s="181"/>
      <c r="C36" s="103" t="s">
        <v>18</v>
      </c>
      <c r="D36" s="3">
        <v>9073.2800000000007</v>
      </c>
      <c r="E36" s="3">
        <v>4618.13</v>
      </c>
      <c r="F36" s="3">
        <v>2941.02</v>
      </c>
      <c r="G36" s="3">
        <v>10434.26</v>
      </c>
      <c r="H36" s="3">
        <v>5310.84</v>
      </c>
      <c r="I36" s="3"/>
    </row>
    <row r="37" spans="2:9" x14ac:dyDescent="0.25">
      <c r="B37" s="181"/>
      <c r="C37" s="103" t="s">
        <v>19</v>
      </c>
      <c r="D37" s="3">
        <v>9345.48</v>
      </c>
      <c r="E37" s="3">
        <v>4756.67</v>
      </c>
      <c r="F37" s="3">
        <v>3029.26</v>
      </c>
      <c r="G37" s="3">
        <v>10747.3</v>
      </c>
      <c r="H37" s="3">
        <v>5470.17</v>
      </c>
      <c r="I37" s="3"/>
    </row>
    <row r="38" spans="2:9" x14ac:dyDescent="0.25">
      <c r="B38" s="181"/>
      <c r="C38" s="103" t="s">
        <v>20</v>
      </c>
      <c r="D38" s="3">
        <v>9625.84</v>
      </c>
      <c r="E38" s="3">
        <v>4899.37</v>
      </c>
      <c r="F38" s="3">
        <v>3120.13</v>
      </c>
      <c r="G38" s="3">
        <v>11069.72</v>
      </c>
      <c r="H38" s="3">
        <v>5634.28</v>
      </c>
      <c r="I38" s="2"/>
    </row>
    <row r="39" spans="2:9" x14ac:dyDescent="0.25">
      <c r="B39" s="179" t="s">
        <v>21</v>
      </c>
      <c r="C39" s="103" t="s">
        <v>15</v>
      </c>
      <c r="D39" s="3">
        <v>10107.14</v>
      </c>
      <c r="E39" s="3">
        <v>5144.33</v>
      </c>
      <c r="F39" s="3">
        <v>3276.13</v>
      </c>
      <c r="G39" s="3">
        <v>11623.21</v>
      </c>
      <c r="H39" s="3">
        <v>5915.99</v>
      </c>
      <c r="I39" s="2"/>
    </row>
    <row r="40" spans="2:9" x14ac:dyDescent="0.25">
      <c r="B40" s="179"/>
      <c r="C40" s="103" t="s">
        <v>16</v>
      </c>
      <c r="D40" s="3">
        <v>10410.36</v>
      </c>
      <c r="E40" s="3">
        <v>5298.66</v>
      </c>
      <c r="F40" s="3">
        <v>3374.42</v>
      </c>
      <c r="G40" s="3">
        <v>11971.91</v>
      </c>
      <c r="H40" s="3">
        <v>6093.47</v>
      </c>
      <c r="I40" s="2"/>
    </row>
    <row r="41" spans="2:9" x14ac:dyDescent="0.25">
      <c r="B41" s="179"/>
      <c r="C41" s="103" t="s">
        <v>17</v>
      </c>
      <c r="D41" s="3">
        <v>10722.67</v>
      </c>
      <c r="E41" s="3">
        <v>5457.63</v>
      </c>
      <c r="F41" s="3">
        <v>3475.64</v>
      </c>
      <c r="G41" s="3">
        <v>12331.07</v>
      </c>
      <c r="H41" s="3">
        <v>6276.28</v>
      </c>
      <c r="I41" s="2"/>
    </row>
    <row r="42" spans="2:9" x14ac:dyDescent="0.25">
      <c r="B42" s="179"/>
      <c r="C42" s="103" t="s">
        <v>18</v>
      </c>
      <c r="D42" s="3">
        <v>11044.35</v>
      </c>
      <c r="E42" s="3">
        <v>5621.35</v>
      </c>
      <c r="F42" s="3">
        <v>3579.91</v>
      </c>
      <c r="G42" s="3">
        <v>12701</v>
      </c>
      <c r="H42" s="3">
        <v>6464.57</v>
      </c>
      <c r="I42" s="3">
        <v>14606.15</v>
      </c>
    </row>
    <row r="43" spans="2:9" x14ac:dyDescent="0.25">
      <c r="B43" s="179"/>
      <c r="C43" s="103" t="s">
        <v>19</v>
      </c>
      <c r="D43" s="3">
        <v>11375.68</v>
      </c>
      <c r="E43" s="3">
        <v>5789.99</v>
      </c>
      <c r="F43" s="3">
        <v>3687.31</v>
      </c>
      <c r="G43" s="3">
        <v>13082.04</v>
      </c>
      <c r="H43" s="3">
        <v>6658.5</v>
      </c>
      <c r="I43" s="3">
        <v>15044.33</v>
      </c>
    </row>
    <row r="44" spans="2:9" x14ac:dyDescent="0.25">
      <c r="B44" s="179"/>
      <c r="C44" s="103" t="s">
        <v>20</v>
      </c>
      <c r="D44" s="3">
        <v>11716.95</v>
      </c>
      <c r="E44" s="3">
        <v>5963.69</v>
      </c>
      <c r="F44" s="3">
        <v>3797.93</v>
      </c>
      <c r="G44" s="3">
        <v>13474.5</v>
      </c>
      <c r="H44" s="3">
        <v>6858.26</v>
      </c>
      <c r="I44" s="3">
        <v>15495.67</v>
      </c>
    </row>
    <row r="45" spans="2:9" x14ac:dyDescent="0.25">
      <c r="B45" s="179" t="s">
        <v>22</v>
      </c>
      <c r="C45" s="103" t="s">
        <v>15</v>
      </c>
      <c r="D45" s="3">
        <v>12302.8</v>
      </c>
      <c r="E45" s="3">
        <v>6261.87</v>
      </c>
      <c r="F45" s="3">
        <v>3987.83</v>
      </c>
      <c r="G45" s="3">
        <v>14148.23</v>
      </c>
      <c r="H45" s="3">
        <v>7201.17</v>
      </c>
      <c r="I45" s="3">
        <v>16270.45</v>
      </c>
    </row>
    <row r="46" spans="2:9" x14ac:dyDescent="0.25">
      <c r="B46" s="179"/>
      <c r="C46" s="103" t="s">
        <v>16</v>
      </c>
      <c r="D46" s="3">
        <v>12671.88</v>
      </c>
      <c r="E46" s="3">
        <v>6449.74</v>
      </c>
      <c r="F46" s="3">
        <v>4107.46</v>
      </c>
      <c r="G46" s="3">
        <v>14572.67</v>
      </c>
      <c r="H46" s="3">
        <v>7417.22</v>
      </c>
      <c r="I46" s="3">
        <v>16758.560000000001</v>
      </c>
    </row>
    <row r="47" spans="2:9" x14ac:dyDescent="0.25">
      <c r="B47" s="179"/>
      <c r="C47" s="103" t="s">
        <v>17</v>
      </c>
      <c r="D47" s="3">
        <v>13052.04</v>
      </c>
      <c r="E47" s="3">
        <v>6643.23</v>
      </c>
      <c r="F47" s="3">
        <v>4230.68</v>
      </c>
      <c r="G47" s="3">
        <v>15009.86</v>
      </c>
      <c r="H47" s="3">
        <v>7639.72</v>
      </c>
      <c r="I47" s="3">
        <v>17261.330000000002</v>
      </c>
    </row>
    <row r="48" spans="2:9" x14ac:dyDescent="0.25">
      <c r="B48" s="179"/>
      <c r="C48" s="103" t="s">
        <v>18</v>
      </c>
      <c r="D48" s="3">
        <v>13443.61</v>
      </c>
      <c r="E48" s="3">
        <v>6842.53</v>
      </c>
      <c r="F48" s="3">
        <v>4357.6000000000004</v>
      </c>
      <c r="G48" s="3">
        <v>15460.15</v>
      </c>
      <c r="H48" s="3">
        <v>7868.93</v>
      </c>
      <c r="I48" s="3">
        <v>17779.169999999998</v>
      </c>
    </row>
    <row r="49" spans="2:9" x14ac:dyDescent="0.25">
      <c r="B49" s="179"/>
      <c r="C49" s="103" t="s">
        <v>19</v>
      </c>
      <c r="D49" s="3">
        <v>13846.91</v>
      </c>
      <c r="E49" s="3">
        <v>7047.79</v>
      </c>
      <c r="F49" s="3">
        <v>4488.34</v>
      </c>
      <c r="G49" s="3">
        <v>15923.94</v>
      </c>
      <c r="H49" s="3">
        <v>8105</v>
      </c>
      <c r="I49" s="3">
        <v>18312.54</v>
      </c>
    </row>
    <row r="50" spans="2:9" x14ac:dyDescent="0.25">
      <c r="B50" s="179"/>
      <c r="C50" s="103" t="s">
        <v>20</v>
      </c>
      <c r="D50" s="3">
        <v>14262.32</v>
      </c>
      <c r="E50" s="3">
        <v>7259.23</v>
      </c>
      <c r="F50" s="3">
        <v>4623</v>
      </c>
      <c r="G50" s="3">
        <v>16401.66</v>
      </c>
      <c r="H50" s="3">
        <v>8348.15</v>
      </c>
      <c r="I50" s="3">
        <v>18861.900000000001</v>
      </c>
    </row>
    <row r="52" spans="2:9" x14ac:dyDescent="0.25">
      <c r="B52" s="205" t="s">
        <v>23</v>
      </c>
      <c r="C52" s="205"/>
      <c r="D52" s="205"/>
      <c r="E52" s="205"/>
      <c r="F52" s="205"/>
      <c r="G52" s="205"/>
      <c r="H52" s="205"/>
      <c r="I52" s="205"/>
    </row>
    <row r="54" spans="2:9" x14ac:dyDescent="0.25">
      <c r="B54" s="204" t="s">
        <v>3</v>
      </c>
      <c r="C54" s="204"/>
      <c r="D54" s="204"/>
      <c r="E54" s="204"/>
      <c r="F54" s="204"/>
      <c r="G54" s="204"/>
      <c r="H54" s="204"/>
      <c r="I54" s="204"/>
    </row>
    <row r="55" spans="2:9" x14ac:dyDescent="0.25">
      <c r="B55" s="183" t="s">
        <v>4</v>
      </c>
      <c r="C55" s="183"/>
      <c r="D55" s="2" t="s">
        <v>5</v>
      </c>
      <c r="E55" s="2"/>
      <c r="F55" s="183" t="s">
        <v>6</v>
      </c>
      <c r="G55" s="183"/>
      <c r="H55" s="204" t="s">
        <v>7</v>
      </c>
      <c r="I55" s="204"/>
    </row>
    <row r="56" spans="2:9" ht="60" x14ac:dyDescent="0.25">
      <c r="B56" s="183"/>
      <c r="C56" s="183"/>
      <c r="D56" s="108" t="s">
        <v>24</v>
      </c>
      <c r="E56" s="109" t="s">
        <v>25</v>
      </c>
      <c r="F56" s="108" t="s">
        <v>24</v>
      </c>
      <c r="G56" s="109" t="s">
        <v>25</v>
      </c>
      <c r="H56" s="108" t="s">
        <v>24</v>
      </c>
      <c r="I56" s="109" t="s">
        <v>25</v>
      </c>
    </row>
    <row r="57" spans="2:9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</row>
    <row r="58" spans="2:9" x14ac:dyDescent="0.25">
      <c r="B58" s="181" t="s">
        <v>14</v>
      </c>
      <c r="C58" s="103" t="s">
        <v>15</v>
      </c>
      <c r="D58" s="3">
        <v>8303.34</v>
      </c>
      <c r="E58" s="3">
        <v>8303.34</v>
      </c>
      <c r="F58" s="3"/>
      <c r="G58" s="3"/>
      <c r="H58" s="3"/>
      <c r="I58" s="2"/>
    </row>
    <row r="59" spans="2:9" x14ac:dyDescent="0.25">
      <c r="B59" s="181"/>
      <c r="C59" s="103" t="s">
        <v>16</v>
      </c>
      <c r="D59" s="3">
        <v>8552.44</v>
      </c>
      <c r="E59" s="3">
        <v>8552.44</v>
      </c>
      <c r="F59" s="3"/>
      <c r="G59" s="3"/>
      <c r="H59" s="3"/>
      <c r="I59" s="2"/>
    </row>
    <row r="60" spans="2:9" x14ac:dyDescent="0.25">
      <c r="B60" s="181"/>
      <c r="C60" s="103" t="s">
        <v>17</v>
      </c>
      <c r="D60" s="3">
        <v>8809.01</v>
      </c>
      <c r="E60" s="3">
        <v>8809.01</v>
      </c>
      <c r="F60" s="3"/>
      <c r="G60" s="3"/>
      <c r="H60" s="3"/>
      <c r="I60" s="2"/>
    </row>
    <row r="61" spans="2:9" x14ac:dyDescent="0.25">
      <c r="B61" s="181"/>
      <c r="C61" s="103" t="s">
        <v>18</v>
      </c>
      <c r="D61" s="3">
        <v>9073.2800000000007</v>
      </c>
      <c r="E61" s="3">
        <v>9073.2800000000007</v>
      </c>
      <c r="F61" s="3">
        <v>10434.26</v>
      </c>
      <c r="G61" s="3">
        <v>10434.26</v>
      </c>
      <c r="H61" s="3"/>
      <c r="I61" s="2"/>
    </row>
    <row r="62" spans="2:9" x14ac:dyDescent="0.25">
      <c r="B62" s="181"/>
      <c r="C62" s="103" t="s">
        <v>19</v>
      </c>
      <c r="D62" s="3">
        <v>9345.48</v>
      </c>
      <c r="E62" s="3">
        <v>9345.48</v>
      </c>
      <c r="F62" s="3">
        <v>10747.3</v>
      </c>
      <c r="G62" s="3">
        <v>10747.3</v>
      </c>
      <c r="H62" s="3"/>
      <c r="I62" s="2"/>
    </row>
    <row r="63" spans="2:9" x14ac:dyDescent="0.25">
      <c r="B63" s="181"/>
      <c r="C63" s="103" t="s">
        <v>20</v>
      </c>
      <c r="D63" s="3">
        <v>9625.84</v>
      </c>
      <c r="E63" s="3">
        <v>9625.84</v>
      </c>
      <c r="F63" s="3">
        <v>11069.72</v>
      </c>
      <c r="G63" s="3">
        <v>11069.72</v>
      </c>
      <c r="H63" s="2"/>
      <c r="I63" s="2"/>
    </row>
    <row r="64" spans="2:9" x14ac:dyDescent="0.25">
      <c r="B64" s="179" t="s">
        <v>21</v>
      </c>
      <c r="C64" s="103" t="s">
        <v>15</v>
      </c>
      <c r="D64" s="3">
        <v>10107.14</v>
      </c>
      <c r="E64" s="3">
        <v>10107.14</v>
      </c>
      <c r="F64" s="3">
        <v>11623.21</v>
      </c>
      <c r="G64" s="3">
        <v>11623.21</v>
      </c>
      <c r="H64" s="2"/>
      <c r="I64" s="2"/>
    </row>
    <row r="65" spans="2:9" x14ac:dyDescent="0.25">
      <c r="B65" s="179"/>
      <c r="C65" s="103" t="s">
        <v>16</v>
      </c>
      <c r="D65" s="3">
        <v>10410.36</v>
      </c>
      <c r="E65" s="3">
        <v>10410.36</v>
      </c>
      <c r="F65" s="3">
        <v>11971.91</v>
      </c>
      <c r="G65" s="3">
        <v>11971.91</v>
      </c>
      <c r="H65" s="2"/>
      <c r="I65" s="2"/>
    </row>
    <row r="66" spans="2:9" x14ac:dyDescent="0.25">
      <c r="B66" s="179"/>
      <c r="C66" s="103" t="s">
        <v>17</v>
      </c>
      <c r="D66" s="3">
        <v>10722.67</v>
      </c>
      <c r="E66" s="3">
        <v>10722.67</v>
      </c>
      <c r="F66" s="3">
        <v>12331.07</v>
      </c>
      <c r="G66" s="3">
        <v>12331.07</v>
      </c>
      <c r="H66" s="2"/>
      <c r="I66" s="2"/>
    </row>
    <row r="67" spans="2:9" x14ac:dyDescent="0.25">
      <c r="B67" s="179"/>
      <c r="C67" s="103" t="s">
        <v>18</v>
      </c>
      <c r="D67" s="3">
        <v>11044.35</v>
      </c>
      <c r="E67" s="3">
        <v>11044.35</v>
      </c>
      <c r="F67" s="3">
        <v>12701</v>
      </c>
      <c r="G67" s="3">
        <v>12701</v>
      </c>
      <c r="H67" s="3">
        <v>14606.15</v>
      </c>
      <c r="I67" s="3">
        <v>14606.15</v>
      </c>
    </row>
    <row r="68" spans="2:9" x14ac:dyDescent="0.25">
      <c r="B68" s="179"/>
      <c r="C68" s="103" t="s">
        <v>19</v>
      </c>
      <c r="D68" s="3">
        <v>11375.68</v>
      </c>
      <c r="E68" s="3">
        <v>11375.68</v>
      </c>
      <c r="F68" s="3">
        <v>13082.04</v>
      </c>
      <c r="G68" s="3">
        <v>13082.04</v>
      </c>
      <c r="H68" s="3">
        <v>15044.33</v>
      </c>
      <c r="I68" s="3">
        <v>15044.33</v>
      </c>
    </row>
    <row r="69" spans="2:9" x14ac:dyDescent="0.25">
      <c r="B69" s="179"/>
      <c r="C69" s="103" t="s">
        <v>20</v>
      </c>
      <c r="D69" s="3">
        <v>11716.95</v>
      </c>
      <c r="E69" s="3">
        <v>11716.95</v>
      </c>
      <c r="F69" s="3">
        <v>13474.5</v>
      </c>
      <c r="G69" s="3">
        <v>13474.5</v>
      </c>
      <c r="H69" s="3">
        <v>15495.67</v>
      </c>
      <c r="I69" s="3">
        <v>15495.67</v>
      </c>
    </row>
    <row r="70" spans="2:9" x14ac:dyDescent="0.25">
      <c r="B70" s="179" t="s">
        <v>22</v>
      </c>
      <c r="C70" s="103" t="s">
        <v>15</v>
      </c>
      <c r="D70" s="3">
        <v>12302.8</v>
      </c>
      <c r="E70" s="3">
        <v>12302.8</v>
      </c>
      <c r="F70" s="3">
        <v>14148.23</v>
      </c>
      <c r="G70" s="3">
        <v>14148.23</v>
      </c>
      <c r="H70" s="3">
        <v>16270.45</v>
      </c>
      <c r="I70" s="3">
        <v>16270.45</v>
      </c>
    </row>
    <row r="71" spans="2:9" x14ac:dyDescent="0.25">
      <c r="B71" s="179"/>
      <c r="C71" s="103" t="s">
        <v>16</v>
      </c>
      <c r="D71" s="3">
        <v>12671.88</v>
      </c>
      <c r="E71" s="3">
        <v>12671.88</v>
      </c>
      <c r="F71" s="3">
        <v>14572.67</v>
      </c>
      <c r="G71" s="3">
        <v>14572.67</v>
      </c>
      <c r="H71" s="3">
        <v>16758.560000000001</v>
      </c>
      <c r="I71" s="3">
        <v>16758.560000000001</v>
      </c>
    </row>
    <row r="72" spans="2:9" x14ac:dyDescent="0.25">
      <c r="B72" s="179"/>
      <c r="C72" s="103" t="s">
        <v>17</v>
      </c>
      <c r="D72" s="3">
        <v>13052.04</v>
      </c>
      <c r="E72" s="3">
        <v>13052.04</v>
      </c>
      <c r="F72" s="3">
        <v>15009.86</v>
      </c>
      <c r="G72" s="3">
        <v>15009.86</v>
      </c>
      <c r="H72" s="3">
        <v>17261.330000000002</v>
      </c>
      <c r="I72" s="3">
        <v>17261.330000000002</v>
      </c>
    </row>
    <row r="73" spans="2:9" x14ac:dyDescent="0.25">
      <c r="B73" s="179"/>
      <c r="C73" s="103" t="s">
        <v>18</v>
      </c>
      <c r="D73" s="3">
        <v>13443.61</v>
      </c>
      <c r="E73" s="3">
        <v>13443.61</v>
      </c>
      <c r="F73" s="3">
        <v>15460.15</v>
      </c>
      <c r="G73" s="3">
        <v>15460.15</v>
      </c>
      <c r="H73" s="3">
        <v>17779.169999999998</v>
      </c>
      <c r="I73" s="3">
        <v>17779.169999999998</v>
      </c>
    </row>
    <row r="74" spans="2:9" x14ac:dyDescent="0.25">
      <c r="B74" s="179"/>
      <c r="C74" s="103" t="s">
        <v>19</v>
      </c>
      <c r="D74" s="3">
        <v>13846.91</v>
      </c>
      <c r="E74" s="3">
        <v>13846.91</v>
      </c>
      <c r="F74" s="3">
        <v>15923.94</v>
      </c>
      <c r="G74" s="3">
        <v>15923.94</v>
      </c>
      <c r="H74" s="3">
        <v>18312.54</v>
      </c>
      <c r="I74" s="3">
        <v>18312.54</v>
      </c>
    </row>
    <row r="75" spans="2:9" x14ac:dyDescent="0.25">
      <c r="B75" s="179"/>
      <c r="C75" s="103" t="s">
        <v>20</v>
      </c>
      <c r="D75" s="3">
        <v>14262.32</v>
      </c>
      <c r="E75" s="3">
        <v>14262.32</v>
      </c>
      <c r="F75" s="3">
        <v>16401.66</v>
      </c>
      <c r="G75" s="3">
        <v>16401.66</v>
      </c>
      <c r="H75" s="3">
        <v>18861.900000000001</v>
      </c>
      <c r="I75" s="3">
        <v>18861.900000000001</v>
      </c>
    </row>
    <row r="77" spans="2:9" x14ac:dyDescent="0.25">
      <c r="B77" s="205" t="s">
        <v>26</v>
      </c>
      <c r="C77" s="205"/>
      <c r="D77" s="205"/>
      <c r="E77" s="205"/>
      <c r="F77" s="205"/>
      <c r="G77" s="205"/>
      <c r="H77" s="205"/>
      <c r="I77" s="205"/>
    </row>
    <row r="79" spans="2:9" x14ac:dyDescent="0.25">
      <c r="B79" s="204" t="s">
        <v>3</v>
      </c>
      <c r="C79" s="204"/>
      <c r="D79" s="204"/>
      <c r="E79" s="204"/>
      <c r="F79" s="204"/>
      <c r="G79" s="204"/>
    </row>
    <row r="80" spans="2:9" ht="45" customHeight="1" x14ac:dyDescent="0.25">
      <c r="B80" s="206" t="s">
        <v>4</v>
      </c>
      <c r="C80" s="207"/>
      <c r="D80" s="2" t="s">
        <v>5</v>
      </c>
      <c r="E80" s="2"/>
      <c r="F80" s="183" t="s">
        <v>6</v>
      </c>
      <c r="G80" s="183"/>
    </row>
    <row r="81" spans="2:7" ht="30" x14ac:dyDescent="0.25">
      <c r="B81" s="208"/>
      <c r="C81" s="209"/>
      <c r="D81" s="108" t="s">
        <v>27</v>
      </c>
      <c r="E81" s="109" t="s">
        <v>28</v>
      </c>
      <c r="F81" s="108" t="s">
        <v>27</v>
      </c>
      <c r="G81" s="109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1" t="s">
        <v>14</v>
      </c>
      <c r="C83" s="60" t="s">
        <v>15</v>
      </c>
      <c r="D83" s="61">
        <v>4662.8900000000003</v>
      </c>
      <c r="E83" s="61">
        <v>4226.25</v>
      </c>
      <c r="F83" s="62"/>
      <c r="G83" s="2"/>
    </row>
    <row r="84" spans="2:7" x14ac:dyDescent="0.25">
      <c r="B84" s="181"/>
      <c r="C84" s="63" t="s">
        <v>16</v>
      </c>
      <c r="D84" s="64">
        <v>4802.7700000000004</v>
      </c>
      <c r="E84" s="64">
        <v>4353.03</v>
      </c>
      <c r="F84" s="62"/>
      <c r="G84" s="2"/>
    </row>
    <row r="85" spans="2:7" x14ac:dyDescent="0.25">
      <c r="B85" s="181"/>
      <c r="C85" s="63" t="s">
        <v>17</v>
      </c>
      <c r="D85" s="64">
        <v>4946.8599999999997</v>
      </c>
      <c r="E85" s="64">
        <v>4483.62</v>
      </c>
      <c r="F85" s="62"/>
      <c r="G85" s="2"/>
    </row>
    <row r="86" spans="2:7" x14ac:dyDescent="0.25">
      <c r="B86" s="181"/>
      <c r="C86" s="63" t="s">
        <v>18</v>
      </c>
      <c r="D86" s="64">
        <v>5095.26</v>
      </c>
      <c r="E86" s="64">
        <v>4618.13</v>
      </c>
      <c r="F86" s="64">
        <v>5859.55</v>
      </c>
      <c r="G86" s="3">
        <v>5310.84</v>
      </c>
    </row>
    <row r="87" spans="2:7" x14ac:dyDescent="0.25">
      <c r="B87" s="181"/>
      <c r="C87" s="63" t="s">
        <v>19</v>
      </c>
      <c r="D87" s="64">
        <v>5248.12</v>
      </c>
      <c r="E87" s="64">
        <v>4756.67</v>
      </c>
      <c r="F87" s="64">
        <v>6035.33</v>
      </c>
      <c r="G87" s="3">
        <v>5470.17</v>
      </c>
    </row>
    <row r="88" spans="2:7" x14ac:dyDescent="0.25">
      <c r="B88" s="181"/>
      <c r="C88" s="63" t="s">
        <v>20</v>
      </c>
      <c r="D88" s="64">
        <v>5405.56</v>
      </c>
      <c r="E88" s="64">
        <v>4899.38</v>
      </c>
      <c r="F88" s="64">
        <v>6216.39</v>
      </c>
      <c r="G88" s="3">
        <v>5634.28</v>
      </c>
    </row>
    <row r="89" spans="2:7" x14ac:dyDescent="0.25">
      <c r="B89" s="179" t="s">
        <v>21</v>
      </c>
      <c r="C89" s="63" t="s">
        <v>15</v>
      </c>
      <c r="D89" s="64">
        <v>5675.83</v>
      </c>
      <c r="E89" s="64">
        <v>5144.34</v>
      </c>
      <c r="F89" s="64">
        <v>6527.21</v>
      </c>
      <c r="G89" s="3">
        <v>5915.99</v>
      </c>
    </row>
    <row r="90" spans="2:7" x14ac:dyDescent="0.25">
      <c r="B90" s="179"/>
      <c r="C90" s="63" t="s">
        <v>16</v>
      </c>
      <c r="D90" s="64">
        <v>5846.11</v>
      </c>
      <c r="E90" s="64">
        <v>5298.67</v>
      </c>
      <c r="F90" s="64">
        <v>6723.03</v>
      </c>
      <c r="G90" s="3">
        <v>6093.47</v>
      </c>
    </row>
    <row r="91" spans="2:7" x14ac:dyDescent="0.25">
      <c r="B91" s="179"/>
      <c r="C91" s="63" t="s">
        <v>17</v>
      </c>
      <c r="D91" s="64">
        <v>6021.5</v>
      </c>
      <c r="E91" s="64">
        <v>5457.64</v>
      </c>
      <c r="F91" s="64">
        <v>6924.73</v>
      </c>
      <c r="G91" s="3">
        <v>6276.28</v>
      </c>
    </row>
    <row r="92" spans="2:7" x14ac:dyDescent="0.25">
      <c r="B92" s="179"/>
      <c r="C92" s="2" t="s">
        <v>18</v>
      </c>
      <c r="D92" s="3">
        <v>6202.15</v>
      </c>
      <c r="E92" s="3">
        <v>5621.36</v>
      </c>
      <c r="F92" s="3">
        <v>7132.46</v>
      </c>
      <c r="G92" s="3">
        <v>6464.57</v>
      </c>
    </row>
    <row r="93" spans="2:7" x14ac:dyDescent="0.25">
      <c r="B93" s="179"/>
      <c r="C93" s="2" t="s">
        <v>19</v>
      </c>
      <c r="D93" s="3">
        <v>6388.21</v>
      </c>
      <c r="E93" s="3">
        <v>5790</v>
      </c>
      <c r="F93" s="3">
        <v>7346.44</v>
      </c>
      <c r="G93" s="3">
        <v>6658.5</v>
      </c>
    </row>
    <row r="94" spans="2:7" x14ac:dyDescent="0.25">
      <c r="B94" s="179"/>
      <c r="C94" s="2" t="s">
        <v>20</v>
      </c>
      <c r="D94" s="3">
        <v>6579.85</v>
      </c>
      <c r="E94" s="3">
        <v>5963.7</v>
      </c>
      <c r="F94" s="3">
        <v>7566.83</v>
      </c>
      <c r="G94" s="3">
        <v>6858.26</v>
      </c>
    </row>
    <row r="95" spans="2:7" x14ac:dyDescent="0.25">
      <c r="B95" s="179" t="s">
        <v>22</v>
      </c>
      <c r="C95" s="2" t="s">
        <v>15</v>
      </c>
      <c r="D95" s="3">
        <v>6908.84</v>
      </c>
      <c r="E95" s="3">
        <v>6261.88</v>
      </c>
      <c r="F95" s="3">
        <v>7945.17</v>
      </c>
      <c r="G95" s="3">
        <v>7201.17</v>
      </c>
    </row>
    <row r="96" spans="2:7" x14ac:dyDescent="0.25">
      <c r="B96" s="179"/>
      <c r="C96" s="2" t="s">
        <v>16</v>
      </c>
      <c r="D96" s="3">
        <v>7116.11</v>
      </c>
      <c r="E96" s="3">
        <v>6449.75</v>
      </c>
      <c r="F96" s="3">
        <v>8183.53</v>
      </c>
      <c r="G96" s="3">
        <v>7417.22</v>
      </c>
    </row>
    <row r="97" spans="2:7" x14ac:dyDescent="0.25">
      <c r="B97" s="179"/>
      <c r="C97" s="2" t="s">
        <v>17</v>
      </c>
      <c r="D97" s="3">
        <v>7329.59</v>
      </c>
      <c r="E97" s="3">
        <v>6643.25</v>
      </c>
      <c r="F97" s="3">
        <v>8429.0300000000007</v>
      </c>
      <c r="G97" s="3">
        <v>7639.72</v>
      </c>
    </row>
    <row r="98" spans="2:7" x14ac:dyDescent="0.25">
      <c r="B98" s="179"/>
      <c r="C98" s="2" t="s">
        <v>18</v>
      </c>
      <c r="D98" s="3">
        <v>7549.48</v>
      </c>
      <c r="E98" s="3">
        <v>6842.55</v>
      </c>
      <c r="F98" s="3">
        <v>8681.91</v>
      </c>
      <c r="G98" s="3">
        <v>7868.93</v>
      </c>
    </row>
    <row r="99" spans="2:7" x14ac:dyDescent="0.25">
      <c r="B99" s="179"/>
      <c r="C99" s="2" t="s">
        <v>19</v>
      </c>
      <c r="D99" s="3">
        <v>7775.97</v>
      </c>
      <c r="E99" s="3">
        <v>7047.82</v>
      </c>
      <c r="F99" s="3">
        <v>8942.36</v>
      </c>
      <c r="G99" s="3">
        <v>8105</v>
      </c>
    </row>
    <row r="100" spans="2:7" x14ac:dyDescent="0.25">
      <c r="B100" s="179"/>
      <c r="C100" s="2" t="s">
        <v>20</v>
      </c>
      <c r="D100" s="3">
        <v>8009.24</v>
      </c>
      <c r="E100" s="3">
        <v>7259.25</v>
      </c>
      <c r="F100" s="3">
        <v>9210.64</v>
      </c>
      <c r="G100" s="3">
        <v>8348.15</v>
      </c>
    </row>
    <row r="103" spans="2:7" ht="26.25" customHeight="1" x14ac:dyDescent="0.25">
      <c r="B103" s="203" t="s">
        <v>648</v>
      </c>
      <c r="C103" s="203"/>
      <c r="D103" s="203"/>
      <c r="E103" s="203"/>
      <c r="F103" s="203"/>
      <c r="G103" s="203"/>
    </row>
    <row r="105" spans="2:7" x14ac:dyDescent="0.25">
      <c r="B105" s="204" t="s">
        <v>3</v>
      </c>
      <c r="C105" s="204"/>
      <c r="D105" s="204"/>
      <c r="E105" s="204"/>
      <c r="F105" s="204"/>
    </row>
    <row r="106" spans="2:7" x14ac:dyDescent="0.25">
      <c r="B106" s="183" t="s">
        <v>4</v>
      </c>
      <c r="C106" s="183"/>
      <c r="D106" s="204" t="s">
        <v>5</v>
      </c>
      <c r="E106" s="204"/>
      <c r="F106" s="204"/>
    </row>
    <row r="107" spans="2:7" ht="30" x14ac:dyDescent="0.25">
      <c r="B107" s="183"/>
      <c r="C107" s="183"/>
      <c r="D107" s="110" t="s">
        <v>128</v>
      </c>
      <c r="E107" s="108" t="s">
        <v>32</v>
      </c>
      <c r="F107" s="110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1" t="s">
        <v>14</v>
      </c>
      <c r="C109" s="2" t="s">
        <v>15</v>
      </c>
      <c r="D109" s="3">
        <v>3177.7</v>
      </c>
      <c r="E109" s="3">
        <v>2691.46</v>
      </c>
      <c r="F109" s="3">
        <v>2691.46</v>
      </c>
    </row>
    <row r="110" spans="2:7" x14ac:dyDescent="0.25">
      <c r="B110" s="181"/>
      <c r="C110" s="2" t="s">
        <v>16</v>
      </c>
      <c r="D110" s="3">
        <v>3273.03</v>
      </c>
      <c r="E110" s="3">
        <v>2772.2</v>
      </c>
      <c r="F110" s="3">
        <v>2772.2</v>
      </c>
    </row>
    <row r="111" spans="2:7" x14ac:dyDescent="0.25">
      <c r="B111" s="181"/>
      <c r="C111" s="2" t="s">
        <v>17</v>
      </c>
      <c r="D111" s="3">
        <v>3371.22</v>
      </c>
      <c r="E111" s="3">
        <v>2855.36</v>
      </c>
      <c r="F111" s="3">
        <v>2855.36</v>
      </c>
    </row>
    <row r="112" spans="2:7" x14ac:dyDescent="0.25">
      <c r="B112" s="181"/>
      <c r="C112" s="2" t="s">
        <v>18</v>
      </c>
      <c r="D112" s="3">
        <v>3472.36</v>
      </c>
      <c r="E112" s="3">
        <v>2941.02</v>
      </c>
      <c r="F112" s="3">
        <v>2941.02</v>
      </c>
    </row>
    <row r="113" spans="2:6" x14ac:dyDescent="0.25">
      <c r="B113" s="181"/>
      <c r="C113" s="2" t="s">
        <v>19</v>
      </c>
      <c r="D113" s="3">
        <v>3576.53</v>
      </c>
      <c r="E113" s="3">
        <v>3029.26</v>
      </c>
      <c r="F113" s="3">
        <v>3029.26</v>
      </c>
    </row>
    <row r="114" spans="2:6" x14ac:dyDescent="0.25">
      <c r="B114" s="181"/>
      <c r="C114" s="2" t="s">
        <v>20</v>
      </c>
      <c r="D114" s="3">
        <v>3683.82</v>
      </c>
      <c r="E114" s="3">
        <v>3120.13</v>
      </c>
      <c r="F114" s="3">
        <v>3120.13</v>
      </c>
    </row>
    <row r="115" spans="2:6" x14ac:dyDescent="0.25">
      <c r="B115" s="179" t="s">
        <v>21</v>
      </c>
      <c r="C115" s="2" t="s">
        <v>15</v>
      </c>
      <c r="D115" s="3">
        <v>3868.02</v>
      </c>
      <c r="E115" s="3">
        <v>3276.13</v>
      </c>
      <c r="F115" s="3">
        <v>3276.13</v>
      </c>
    </row>
    <row r="116" spans="2:6" x14ac:dyDescent="0.25">
      <c r="B116" s="179"/>
      <c r="C116" s="2" t="s">
        <v>16</v>
      </c>
      <c r="D116" s="3">
        <v>3984.06</v>
      </c>
      <c r="E116" s="3">
        <v>3374.42</v>
      </c>
      <c r="F116" s="3">
        <v>3374.42</v>
      </c>
    </row>
    <row r="117" spans="2:6" x14ac:dyDescent="0.25">
      <c r="B117" s="179"/>
      <c r="C117" s="2" t="s">
        <v>17</v>
      </c>
      <c r="D117" s="3">
        <v>4103.59</v>
      </c>
      <c r="E117" s="3">
        <v>3475.64</v>
      </c>
      <c r="F117" s="3">
        <v>3475.64</v>
      </c>
    </row>
    <row r="118" spans="2:6" x14ac:dyDescent="0.25">
      <c r="B118" s="179"/>
      <c r="C118" s="2" t="s">
        <v>18</v>
      </c>
      <c r="D118" s="3">
        <v>4226.7</v>
      </c>
      <c r="E118" s="3">
        <v>3579.91</v>
      </c>
      <c r="F118" s="3">
        <v>3579.91</v>
      </c>
    </row>
    <row r="119" spans="2:6" x14ac:dyDescent="0.25">
      <c r="B119" s="179"/>
      <c r="C119" s="2" t="s">
        <v>19</v>
      </c>
      <c r="D119" s="3">
        <v>4353.51</v>
      </c>
      <c r="E119" s="3">
        <v>3687.31</v>
      </c>
      <c r="F119" s="3">
        <v>3687.31</v>
      </c>
    </row>
    <row r="120" spans="2:6" x14ac:dyDescent="0.25">
      <c r="B120" s="179"/>
      <c r="C120" s="2" t="s">
        <v>20</v>
      </c>
      <c r="D120" s="3">
        <v>4484.1099999999997</v>
      </c>
      <c r="E120" s="3">
        <v>3797.93</v>
      </c>
      <c r="F120" s="3">
        <v>3797.93</v>
      </c>
    </row>
    <row r="121" spans="2:6" x14ac:dyDescent="0.25">
      <c r="B121" s="179" t="s">
        <v>22</v>
      </c>
      <c r="C121" s="2" t="s">
        <v>15</v>
      </c>
      <c r="D121" s="3">
        <v>4708.3100000000004</v>
      </c>
      <c r="E121" s="3">
        <v>3987.83</v>
      </c>
      <c r="F121" s="3">
        <v>3987.83</v>
      </c>
    </row>
    <row r="122" spans="2:6" x14ac:dyDescent="0.25">
      <c r="B122" s="179"/>
      <c r="C122" s="2" t="s">
        <v>16</v>
      </c>
      <c r="D122" s="3">
        <v>4849.5600000000004</v>
      </c>
      <c r="E122" s="3">
        <v>4107.46</v>
      </c>
      <c r="F122" s="3">
        <v>4107.46</v>
      </c>
    </row>
    <row r="123" spans="2:6" x14ac:dyDescent="0.25">
      <c r="B123" s="179"/>
      <c r="C123" s="2" t="s">
        <v>17</v>
      </c>
      <c r="D123" s="3">
        <v>4995.05</v>
      </c>
      <c r="E123" s="3">
        <v>4230.68</v>
      </c>
      <c r="F123" s="3">
        <v>4230.68</v>
      </c>
    </row>
    <row r="124" spans="2:6" x14ac:dyDescent="0.25">
      <c r="B124" s="179"/>
      <c r="C124" s="2" t="s">
        <v>18</v>
      </c>
      <c r="D124" s="3">
        <v>5144.8999999999996</v>
      </c>
      <c r="E124" s="3">
        <v>4357.6000000000004</v>
      </c>
      <c r="F124" s="3">
        <v>4357.6000000000004</v>
      </c>
    </row>
    <row r="125" spans="2:6" x14ac:dyDescent="0.25">
      <c r="B125" s="179"/>
      <c r="C125" s="2" t="s">
        <v>19</v>
      </c>
      <c r="D125" s="3">
        <v>5299.26</v>
      </c>
      <c r="E125" s="3">
        <v>4488.34</v>
      </c>
      <c r="F125" s="3">
        <v>4488.34</v>
      </c>
    </row>
    <row r="126" spans="2:6" x14ac:dyDescent="0.25">
      <c r="B126" s="179"/>
      <c r="C126" s="2" t="s">
        <v>20</v>
      </c>
      <c r="D126" s="3">
        <v>5458.23</v>
      </c>
      <c r="E126" s="3">
        <v>4623</v>
      </c>
      <c r="F126" s="3">
        <v>4623</v>
      </c>
    </row>
    <row r="130" spans="2:19" ht="31.5" customHeight="1" x14ac:dyDescent="0.25">
      <c r="B130" s="202" t="s">
        <v>634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</row>
    <row r="132" spans="2:19" x14ac:dyDescent="0.25">
      <c r="B132" s="114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83" t="s">
        <v>125</v>
      </c>
      <c r="C134" s="183"/>
      <c r="D134" s="183" t="s">
        <v>630</v>
      </c>
      <c r="E134" s="183"/>
      <c r="F134" s="183"/>
      <c r="G134" s="183"/>
      <c r="H134" s="183" t="s">
        <v>631</v>
      </c>
      <c r="I134" s="179"/>
      <c r="J134" s="179"/>
      <c r="K134" s="179" t="s">
        <v>632</v>
      </c>
      <c r="L134" s="179"/>
      <c r="M134" s="179"/>
      <c r="N134" s="179"/>
    </row>
    <row r="135" spans="2:19" ht="90" customHeight="1" x14ac:dyDescent="0.25">
      <c r="B135" s="195" t="s">
        <v>50</v>
      </c>
      <c r="C135" s="195"/>
      <c r="D135" s="195" t="s">
        <v>51</v>
      </c>
      <c r="E135" s="195"/>
      <c r="F135" s="195"/>
      <c r="G135" s="195"/>
      <c r="H135" s="195" t="s">
        <v>52</v>
      </c>
      <c r="I135" s="195"/>
      <c r="J135" s="195"/>
      <c r="K135" s="195" t="s">
        <v>53</v>
      </c>
      <c r="L135" s="195"/>
      <c r="M135" s="195"/>
      <c r="N135" s="195"/>
      <c r="O135" s="22" t="s">
        <v>130</v>
      </c>
      <c r="P135" s="22" t="s">
        <v>131</v>
      </c>
      <c r="Q135" s="21" t="s">
        <v>132</v>
      </c>
      <c r="R135" s="107">
        <v>37589.96</v>
      </c>
      <c r="S135" s="55" t="s">
        <v>604</v>
      </c>
    </row>
    <row r="136" spans="2:19" ht="161.25" customHeight="1" x14ac:dyDescent="0.25">
      <c r="B136" s="195" t="s">
        <v>665</v>
      </c>
      <c r="C136" s="195"/>
      <c r="D136" s="195" t="s">
        <v>658</v>
      </c>
      <c r="E136" s="195"/>
      <c r="F136" s="195"/>
      <c r="G136" s="195"/>
      <c r="H136" s="195" t="s">
        <v>661</v>
      </c>
      <c r="I136" s="195"/>
      <c r="J136" s="195"/>
      <c r="K136" s="195" t="s">
        <v>654</v>
      </c>
      <c r="L136" s="195"/>
      <c r="M136" s="195"/>
      <c r="N136" s="195"/>
    </row>
    <row r="137" spans="2:19" ht="121.5" customHeight="1" x14ac:dyDescent="0.25">
      <c r="B137" s="195" t="s">
        <v>666</v>
      </c>
      <c r="C137" s="195"/>
      <c r="D137" s="195" t="s">
        <v>659</v>
      </c>
      <c r="E137" s="195"/>
      <c r="F137" s="195"/>
      <c r="G137" s="195"/>
      <c r="H137" s="247">
        <v>2450</v>
      </c>
      <c r="I137" s="248"/>
      <c r="J137" s="248"/>
      <c r="K137" s="195" t="s">
        <v>654</v>
      </c>
      <c r="L137" s="195"/>
      <c r="M137" s="195"/>
      <c r="N137" s="195"/>
    </row>
    <row r="138" spans="2:19" ht="162" customHeight="1" x14ac:dyDescent="0.25">
      <c r="B138" s="195" t="s">
        <v>667</v>
      </c>
      <c r="C138" s="195"/>
      <c r="D138" s="195" t="s">
        <v>660</v>
      </c>
      <c r="E138" s="195"/>
      <c r="F138" s="195"/>
      <c r="G138" s="195"/>
      <c r="H138" s="247">
        <v>27.5</v>
      </c>
      <c r="I138" s="248"/>
      <c r="J138" s="248"/>
      <c r="K138" s="195" t="s">
        <v>654</v>
      </c>
      <c r="L138" s="195"/>
      <c r="M138" s="195"/>
      <c r="N138" s="195"/>
    </row>
    <row r="139" spans="2:19" ht="90" customHeight="1" x14ac:dyDescent="0.25">
      <c r="B139" s="195" t="s">
        <v>656</v>
      </c>
      <c r="C139" s="195"/>
      <c r="D139" s="195" t="s">
        <v>66</v>
      </c>
      <c r="E139" s="195"/>
      <c r="F139" s="195"/>
      <c r="G139" s="195"/>
      <c r="H139" s="195" t="s">
        <v>67</v>
      </c>
      <c r="I139" s="195"/>
      <c r="J139" s="195"/>
      <c r="K139" s="195" t="s">
        <v>652</v>
      </c>
      <c r="L139" s="195"/>
      <c r="M139" s="195"/>
      <c r="N139" s="195"/>
    </row>
    <row r="140" spans="2:19" ht="90" customHeight="1" x14ac:dyDescent="0.25">
      <c r="B140" s="195" t="s">
        <v>69</v>
      </c>
      <c r="C140" s="195"/>
      <c r="D140" s="195" t="s">
        <v>70</v>
      </c>
      <c r="E140" s="195"/>
      <c r="F140" s="195"/>
      <c r="G140" s="195"/>
      <c r="H140" s="195" t="s">
        <v>67</v>
      </c>
      <c r="I140" s="195"/>
      <c r="J140" s="195"/>
      <c r="K140" s="195" t="s">
        <v>653</v>
      </c>
      <c r="L140" s="195"/>
      <c r="M140" s="195"/>
      <c r="N140" s="195"/>
    </row>
    <row r="141" spans="2:19" ht="90" customHeight="1" x14ac:dyDescent="0.25">
      <c r="B141" s="195" t="s">
        <v>71</v>
      </c>
      <c r="C141" s="195"/>
      <c r="D141" s="195" t="s">
        <v>72</v>
      </c>
      <c r="E141" s="195"/>
      <c r="F141" s="195"/>
      <c r="G141" s="195"/>
      <c r="H141" s="196" t="s">
        <v>600</v>
      </c>
      <c r="I141" s="196"/>
      <c r="J141" s="196"/>
      <c r="K141" s="195" t="s">
        <v>74</v>
      </c>
      <c r="L141" s="195"/>
      <c r="M141" s="195"/>
      <c r="N141" s="195"/>
    </row>
    <row r="142" spans="2:19" ht="90" customHeight="1" x14ac:dyDescent="0.25">
      <c r="B142" s="195" t="s">
        <v>75</v>
      </c>
      <c r="C142" s="195"/>
      <c r="D142" s="195" t="s">
        <v>76</v>
      </c>
      <c r="E142" s="195"/>
      <c r="F142" s="195"/>
      <c r="G142" s="195"/>
      <c r="H142" s="196" t="s">
        <v>657</v>
      </c>
      <c r="I142" s="196"/>
      <c r="J142" s="196"/>
      <c r="K142" s="195" t="s">
        <v>77</v>
      </c>
      <c r="L142" s="195"/>
      <c r="M142" s="195"/>
      <c r="N142" s="195"/>
    </row>
    <row r="143" spans="2:19" ht="90" customHeight="1" x14ac:dyDescent="0.25">
      <c r="B143" s="195" t="s">
        <v>78</v>
      </c>
      <c r="C143" s="195"/>
      <c r="D143" s="195" t="s">
        <v>79</v>
      </c>
      <c r="E143" s="195"/>
      <c r="F143" s="195"/>
      <c r="G143" s="195"/>
      <c r="H143" s="247">
        <v>1514.16</v>
      </c>
      <c r="I143" s="248"/>
      <c r="J143" s="248"/>
      <c r="K143" s="195" t="s">
        <v>653</v>
      </c>
      <c r="L143" s="195"/>
      <c r="M143" s="195"/>
      <c r="N143" s="195"/>
      <c r="O143" s="54"/>
    </row>
    <row r="144" spans="2:19" ht="90" customHeight="1" x14ac:dyDescent="0.25">
      <c r="B144" s="195" t="s">
        <v>81</v>
      </c>
      <c r="C144" s="195"/>
      <c r="D144" s="195" t="s">
        <v>82</v>
      </c>
      <c r="E144" s="195"/>
      <c r="F144" s="195"/>
      <c r="G144" s="195"/>
      <c r="H144" s="247">
        <v>1514.16</v>
      </c>
      <c r="I144" s="248"/>
      <c r="J144" s="248"/>
      <c r="K144" s="195" t="s">
        <v>653</v>
      </c>
      <c r="L144" s="195"/>
      <c r="M144" s="195"/>
      <c r="N144" s="195"/>
    </row>
    <row r="145" spans="2:14" ht="90" customHeight="1" x14ac:dyDescent="0.25">
      <c r="B145" s="195" t="s">
        <v>84</v>
      </c>
      <c r="C145" s="195"/>
      <c r="D145" s="195" t="s">
        <v>85</v>
      </c>
      <c r="E145" s="195"/>
      <c r="F145" s="195"/>
      <c r="G145" s="195"/>
      <c r="H145" s="196" t="s">
        <v>602</v>
      </c>
      <c r="I145" s="196"/>
      <c r="J145" s="196"/>
      <c r="K145" s="195" t="s">
        <v>653</v>
      </c>
      <c r="L145" s="195"/>
      <c r="M145" s="195"/>
      <c r="N145" s="195"/>
    </row>
    <row r="146" spans="2:14" ht="108" customHeight="1" x14ac:dyDescent="0.25">
      <c r="B146" s="195" t="s">
        <v>606</v>
      </c>
      <c r="C146" s="195"/>
      <c r="D146" s="195" t="s">
        <v>651</v>
      </c>
      <c r="E146" s="195"/>
      <c r="F146" s="195"/>
      <c r="G146" s="195"/>
      <c r="H146" s="196" t="s">
        <v>663</v>
      </c>
      <c r="I146" s="196"/>
      <c r="J146" s="196"/>
      <c r="K146" s="195" t="s">
        <v>654</v>
      </c>
      <c r="L146" s="195"/>
      <c r="M146" s="195"/>
      <c r="N146" s="195"/>
    </row>
    <row r="147" spans="2:14" ht="113.25" customHeight="1" x14ac:dyDescent="0.25">
      <c r="B147" s="195" t="s">
        <v>607</v>
      </c>
      <c r="C147" s="195"/>
      <c r="D147" s="195" t="s">
        <v>650</v>
      </c>
      <c r="E147" s="195"/>
      <c r="F147" s="195"/>
      <c r="G147" s="195"/>
      <c r="H147" s="196" t="s">
        <v>662</v>
      </c>
      <c r="I147" s="196"/>
      <c r="J147" s="196"/>
      <c r="K147" s="195" t="s">
        <v>654</v>
      </c>
      <c r="L147" s="195"/>
      <c r="M147" s="195"/>
      <c r="N147" s="195"/>
    </row>
    <row r="148" spans="2:14" ht="75.75" customHeight="1" x14ac:dyDescent="0.25">
      <c r="B148" s="195" t="s">
        <v>649</v>
      </c>
      <c r="C148" s="195"/>
      <c r="D148" s="195" t="s">
        <v>664</v>
      </c>
      <c r="E148" s="195"/>
      <c r="F148" s="195"/>
      <c r="G148" s="195"/>
      <c r="H148" s="197">
        <v>2000</v>
      </c>
      <c r="I148" s="198"/>
      <c r="J148" s="198"/>
      <c r="K148" s="195" t="s">
        <v>655</v>
      </c>
      <c r="L148" s="195"/>
      <c r="M148" s="195"/>
      <c r="N148" s="195"/>
    </row>
    <row r="153" spans="2:14" ht="21" x14ac:dyDescent="0.35">
      <c r="B153" s="178" t="s">
        <v>638</v>
      </c>
      <c r="C153" s="178"/>
      <c r="D153" s="178"/>
      <c r="E153" s="178"/>
      <c r="F153" s="178"/>
      <c r="G153" s="178"/>
      <c r="H153" s="178"/>
      <c r="I153" s="178"/>
    </row>
    <row r="155" spans="2:14" x14ac:dyDescent="0.25">
      <c r="B155" s="114" t="s">
        <v>635</v>
      </c>
    </row>
    <row r="157" spans="2:14" x14ac:dyDescent="0.25">
      <c r="B157" t="s">
        <v>637</v>
      </c>
    </row>
    <row r="159" spans="2:14" x14ac:dyDescent="0.25">
      <c r="B159" s="194" t="s">
        <v>643</v>
      </c>
      <c r="C159" s="194"/>
      <c r="D159" s="68" t="s">
        <v>636</v>
      </c>
      <c r="E159" s="68"/>
      <c r="F159" s="68"/>
      <c r="G159" s="69"/>
    </row>
    <row r="160" spans="2:14" x14ac:dyDescent="0.25">
      <c r="B160" s="194"/>
      <c r="C160" s="194"/>
      <c r="D160" s="115" t="s">
        <v>90</v>
      </c>
      <c r="E160" s="72" t="s">
        <v>91</v>
      </c>
      <c r="F160" s="72" t="s">
        <v>92</v>
      </c>
      <c r="G160" s="72" t="s">
        <v>93</v>
      </c>
    </row>
    <row r="161" spans="2:7" ht="18" customHeight="1" x14ac:dyDescent="0.25">
      <c r="B161" s="192" t="s">
        <v>94</v>
      </c>
      <c r="C161" s="192"/>
      <c r="D161" s="116">
        <v>4367.78</v>
      </c>
      <c r="E161" s="74">
        <v>436.78</v>
      </c>
      <c r="F161" s="74">
        <v>1310.33</v>
      </c>
      <c r="G161" s="74">
        <v>2620.67</v>
      </c>
    </row>
    <row r="162" spans="2:7" ht="18" customHeight="1" x14ac:dyDescent="0.25">
      <c r="B162" s="192" t="s">
        <v>95</v>
      </c>
      <c r="C162" s="192"/>
      <c r="D162" s="116">
        <v>4206.16</v>
      </c>
      <c r="E162" s="74">
        <v>420.62</v>
      </c>
      <c r="F162" s="74">
        <v>1261.8499999999999</v>
      </c>
      <c r="G162" s="74">
        <v>2523.6999999999998</v>
      </c>
    </row>
    <row r="163" spans="2:7" ht="18" customHeight="1" x14ac:dyDescent="0.25">
      <c r="B163" s="192" t="s">
        <v>96</v>
      </c>
      <c r="C163" s="192"/>
      <c r="D163" s="116">
        <v>2264.6999999999998</v>
      </c>
      <c r="E163" s="74">
        <v>226.47</v>
      </c>
      <c r="F163" s="74">
        <v>679.41</v>
      </c>
      <c r="G163" s="74">
        <v>1358.82</v>
      </c>
    </row>
    <row r="164" spans="2:7" ht="18" customHeight="1" x14ac:dyDescent="0.25">
      <c r="B164" s="192" t="s">
        <v>97</v>
      </c>
      <c r="C164" s="192"/>
      <c r="D164" s="116">
        <v>3558.86</v>
      </c>
      <c r="E164" s="74">
        <v>355.89</v>
      </c>
      <c r="F164" s="74">
        <v>1067.6600000000001</v>
      </c>
      <c r="G164" s="74">
        <v>2135.3200000000002</v>
      </c>
    </row>
    <row r="165" spans="2:7" ht="18" customHeight="1" x14ac:dyDescent="0.25">
      <c r="B165" s="192" t="s">
        <v>98</v>
      </c>
      <c r="C165" s="192"/>
      <c r="D165" s="116">
        <v>3397.25</v>
      </c>
      <c r="E165" s="74">
        <v>339.73</v>
      </c>
      <c r="F165" s="74">
        <v>1019.18</v>
      </c>
      <c r="G165" s="74">
        <v>2038.35</v>
      </c>
    </row>
    <row r="166" spans="2:7" ht="18" customHeight="1" x14ac:dyDescent="0.25">
      <c r="B166" s="192" t="s">
        <v>99</v>
      </c>
      <c r="C166" s="192"/>
      <c r="D166" s="116">
        <v>3397.25</v>
      </c>
      <c r="E166" s="74">
        <v>339.73</v>
      </c>
      <c r="F166" s="74">
        <v>1019.18</v>
      </c>
      <c r="G166" s="74">
        <v>2038.35</v>
      </c>
    </row>
    <row r="167" spans="2:7" ht="18" customHeight="1" x14ac:dyDescent="0.25">
      <c r="B167" s="192" t="s">
        <v>100</v>
      </c>
      <c r="C167" s="192"/>
      <c r="D167" s="116">
        <v>2264.6999999999998</v>
      </c>
      <c r="E167" s="74">
        <v>226.47</v>
      </c>
      <c r="F167" s="74">
        <v>679.41</v>
      </c>
      <c r="G167" s="74">
        <v>1358.82</v>
      </c>
    </row>
    <row r="168" spans="2:7" ht="18" customHeight="1" x14ac:dyDescent="0.25">
      <c r="B168" s="192" t="s">
        <v>668</v>
      </c>
      <c r="C168" s="192"/>
      <c r="D168" s="116">
        <v>1617.83</v>
      </c>
      <c r="E168" s="74">
        <v>161.78</v>
      </c>
      <c r="F168" s="74">
        <v>485.35</v>
      </c>
      <c r="G168" s="74">
        <v>970.7</v>
      </c>
    </row>
    <row r="172" spans="2:7" x14ac:dyDescent="0.25">
      <c r="B172" t="s">
        <v>639</v>
      </c>
    </row>
    <row r="173" spans="2:7" x14ac:dyDescent="0.25">
      <c r="B173" t="s">
        <v>102</v>
      </c>
    </row>
    <row r="174" spans="2:7" x14ac:dyDescent="0.25">
      <c r="B174" s="75" t="s">
        <v>103</v>
      </c>
      <c r="C174" s="75" t="s">
        <v>104</v>
      </c>
      <c r="D174" s="75" t="s">
        <v>105</v>
      </c>
      <c r="E174" s="193" t="s">
        <v>106</v>
      </c>
      <c r="F174" s="193"/>
      <c r="G174" s="193"/>
    </row>
    <row r="175" spans="2:7" x14ac:dyDescent="0.25">
      <c r="B175" s="75"/>
      <c r="C175" s="75"/>
      <c r="D175" s="75"/>
      <c r="E175" s="60" t="s">
        <v>107</v>
      </c>
      <c r="F175" s="60" t="s">
        <v>108</v>
      </c>
      <c r="G175" s="75" t="s">
        <v>109</v>
      </c>
    </row>
    <row r="176" spans="2:7" x14ac:dyDescent="0.25">
      <c r="B176" s="190" t="s">
        <v>94</v>
      </c>
      <c r="C176" s="181" t="s">
        <v>14</v>
      </c>
      <c r="D176" s="77" t="s">
        <v>15</v>
      </c>
      <c r="E176" s="78">
        <v>346.11</v>
      </c>
      <c r="F176" s="79">
        <v>692.21</v>
      </c>
      <c r="G176" s="78">
        <v>1038.32</v>
      </c>
    </row>
    <row r="177" spans="2:7" x14ac:dyDescent="0.25">
      <c r="B177" s="245"/>
      <c r="C177" s="181"/>
      <c r="D177" s="77" t="s">
        <v>16</v>
      </c>
      <c r="E177" s="78">
        <v>353.04</v>
      </c>
      <c r="F177" s="79">
        <v>706.05</v>
      </c>
      <c r="G177" s="78">
        <v>1059.0899999999999</v>
      </c>
    </row>
    <row r="178" spans="2:7" x14ac:dyDescent="0.25">
      <c r="B178" s="245"/>
      <c r="C178" s="181"/>
      <c r="D178" s="77" t="s">
        <v>17</v>
      </c>
      <c r="E178" s="78">
        <v>360.09</v>
      </c>
      <c r="F178" s="79">
        <v>720.18</v>
      </c>
      <c r="G178" s="78">
        <v>1080.27</v>
      </c>
    </row>
    <row r="179" spans="2:7" x14ac:dyDescent="0.25">
      <c r="B179" s="245"/>
      <c r="C179" s="181"/>
      <c r="D179" s="77" t="s">
        <v>18</v>
      </c>
      <c r="E179" s="78">
        <v>367.29</v>
      </c>
      <c r="F179" s="79">
        <v>734.58</v>
      </c>
      <c r="G179" s="78">
        <v>1101.8699999999999</v>
      </c>
    </row>
    <row r="180" spans="2:7" x14ac:dyDescent="0.25">
      <c r="B180" s="245"/>
      <c r="C180" s="181"/>
      <c r="D180" s="77" t="s">
        <v>19</v>
      </c>
      <c r="E180" s="78">
        <v>374.64</v>
      </c>
      <c r="F180" s="79">
        <v>749.28</v>
      </c>
      <c r="G180" s="78">
        <v>1123.9100000000001</v>
      </c>
    </row>
    <row r="181" spans="2:7" x14ac:dyDescent="0.25">
      <c r="B181" s="245"/>
      <c r="C181" s="181"/>
      <c r="D181" s="77" t="s">
        <v>20</v>
      </c>
      <c r="E181" s="78">
        <v>382.12</v>
      </c>
      <c r="F181" s="79">
        <v>764.26</v>
      </c>
      <c r="G181" s="78">
        <v>1146.3800000000001</v>
      </c>
    </row>
    <row r="182" spans="2:7" x14ac:dyDescent="0.25">
      <c r="B182" s="245" t="s">
        <v>685</v>
      </c>
      <c r="C182" s="181" t="s">
        <v>21</v>
      </c>
      <c r="D182" s="77" t="s">
        <v>15</v>
      </c>
      <c r="E182" s="78">
        <v>389.77</v>
      </c>
      <c r="F182" s="79">
        <v>779.55</v>
      </c>
      <c r="G182" s="80">
        <v>1169.32</v>
      </c>
    </row>
    <row r="183" spans="2:7" x14ac:dyDescent="0.25">
      <c r="B183" s="245"/>
      <c r="C183" s="181"/>
      <c r="D183" s="77" t="s">
        <v>16</v>
      </c>
      <c r="E183" s="78">
        <v>397.57</v>
      </c>
      <c r="F183" s="79">
        <v>795.14</v>
      </c>
      <c r="G183" s="80">
        <v>1192.71</v>
      </c>
    </row>
    <row r="184" spans="2:7" x14ac:dyDescent="0.25">
      <c r="B184" s="245"/>
      <c r="C184" s="181"/>
      <c r="D184" s="77" t="s">
        <v>17</v>
      </c>
      <c r="E184" s="78">
        <v>405.51</v>
      </c>
      <c r="F184" s="79">
        <v>811.05</v>
      </c>
      <c r="G184" s="80">
        <v>1216.56</v>
      </c>
    </row>
    <row r="185" spans="2:7" x14ac:dyDescent="0.25">
      <c r="B185" s="245"/>
      <c r="C185" s="181"/>
      <c r="D185" s="77" t="s">
        <v>18</v>
      </c>
      <c r="E185" s="78">
        <v>413.64</v>
      </c>
      <c r="F185" s="79">
        <v>827.26</v>
      </c>
      <c r="G185" s="80">
        <v>1240.8900000000001</v>
      </c>
    </row>
    <row r="186" spans="2:7" x14ac:dyDescent="0.25">
      <c r="B186" s="245"/>
      <c r="C186" s="181"/>
      <c r="D186" s="77" t="s">
        <v>19</v>
      </c>
      <c r="E186" s="78">
        <v>421.91</v>
      </c>
      <c r="F186" s="79">
        <v>843.8</v>
      </c>
      <c r="G186" s="80">
        <v>1265.71</v>
      </c>
    </row>
    <row r="187" spans="2:7" x14ac:dyDescent="0.25">
      <c r="B187" s="245"/>
      <c r="C187" s="181"/>
      <c r="D187" s="77" t="s">
        <v>20</v>
      </c>
      <c r="E187" s="78">
        <v>430.34</v>
      </c>
      <c r="F187" s="79">
        <v>860.68</v>
      </c>
      <c r="G187" s="80">
        <v>1291.02</v>
      </c>
    </row>
    <row r="188" spans="2:7" x14ac:dyDescent="0.25">
      <c r="B188" s="245" t="s">
        <v>111</v>
      </c>
      <c r="C188" s="180" t="s">
        <v>112</v>
      </c>
      <c r="D188" s="77" t="s">
        <v>15</v>
      </c>
      <c r="E188" s="78">
        <v>438.94</v>
      </c>
      <c r="F188" s="79">
        <v>877.89</v>
      </c>
      <c r="G188" s="80">
        <v>1316.83</v>
      </c>
    </row>
    <row r="189" spans="2:7" x14ac:dyDescent="0.25">
      <c r="B189" s="245"/>
      <c r="C189" s="180"/>
      <c r="D189" s="77" t="s">
        <v>16</v>
      </c>
      <c r="E189" s="78">
        <v>447.72</v>
      </c>
      <c r="F189" s="79">
        <v>895.45</v>
      </c>
      <c r="G189" s="80">
        <v>1343.17</v>
      </c>
    </row>
    <row r="190" spans="2:7" x14ac:dyDescent="0.25">
      <c r="B190" s="245"/>
      <c r="C190" s="180"/>
      <c r="D190" s="77" t="s">
        <v>17</v>
      </c>
      <c r="E190" s="78">
        <v>456.68</v>
      </c>
      <c r="F190" s="79">
        <v>913.35</v>
      </c>
      <c r="G190" s="80">
        <v>1370.04</v>
      </c>
    </row>
    <row r="191" spans="2:7" x14ac:dyDescent="0.25">
      <c r="B191" s="245"/>
      <c r="C191" s="180"/>
      <c r="D191" s="77" t="s">
        <v>18</v>
      </c>
      <c r="E191" s="78">
        <v>465.81</v>
      </c>
      <c r="F191" s="79">
        <v>931.63</v>
      </c>
      <c r="G191" s="80">
        <v>1397.44</v>
      </c>
    </row>
    <row r="192" spans="2:7" x14ac:dyDescent="0.25">
      <c r="B192" s="245"/>
      <c r="C192" s="180"/>
      <c r="D192" s="77" t="s">
        <v>19</v>
      </c>
      <c r="E192" s="78">
        <v>475.12</v>
      </c>
      <c r="F192" s="79">
        <v>950.26</v>
      </c>
      <c r="G192" s="80">
        <v>1425.39</v>
      </c>
    </row>
    <row r="193" spans="2:8" x14ac:dyDescent="0.25">
      <c r="B193" s="246"/>
      <c r="C193" s="180"/>
      <c r="D193" s="77" t="s">
        <v>20</v>
      </c>
      <c r="E193" s="78">
        <v>484.63</v>
      </c>
      <c r="F193" s="79">
        <v>969.26</v>
      </c>
      <c r="G193" s="80">
        <v>1453.9</v>
      </c>
    </row>
    <row r="194" spans="2:8" x14ac:dyDescent="0.25">
      <c r="B194" s="137"/>
      <c r="C194" s="138"/>
      <c r="D194" s="139"/>
      <c r="E194" s="140"/>
      <c r="F194" s="141"/>
      <c r="G194" s="142"/>
    </row>
    <row r="195" spans="2:8" x14ac:dyDescent="0.25">
      <c r="B195" s="137"/>
      <c r="C195" s="138"/>
      <c r="D195" s="139"/>
      <c r="E195" s="140"/>
      <c r="F195" s="141"/>
      <c r="G195" s="142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79" t="s">
        <v>114</v>
      </c>
      <c r="C199" s="179"/>
      <c r="D199" s="179"/>
      <c r="E199" s="179"/>
      <c r="F199" s="179"/>
      <c r="G199" s="179"/>
      <c r="H199" s="179"/>
    </row>
    <row r="200" spans="2:8" x14ac:dyDescent="0.25">
      <c r="B200" s="180" t="s">
        <v>115</v>
      </c>
      <c r="C200" s="181" t="s">
        <v>116</v>
      </c>
      <c r="D200" s="181" t="s">
        <v>117</v>
      </c>
      <c r="E200" s="182" t="s">
        <v>106</v>
      </c>
      <c r="F200" s="182"/>
      <c r="G200" s="182"/>
      <c r="H200" s="182"/>
    </row>
    <row r="201" spans="2:8" ht="30" x14ac:dyDescent="0.25">
      <c r="B201" s="180"/>
      <c r="C201" s="181"/>
      <c r="D201" s="181"/>
      <c r="E201" s="101" t="s">
        <v>118</v>
      </c>
      <c r="F201" s="101" t="s">
        <v>107</v>
      </c>
      <c r="G201" s="101" t="s">
        <v>108</v>
      </c>
      <c r="H201" s="101" t="s">
        <v>109</v>
      </c>
    </row>
    <row r="202" spans="2:8" x14ac:dyDescent="0.25">
      <c r="B202" s="180" t="s">
        <v>119</v>
      </c>
      <c r="C202" s="191" t="s">
        <v>14</v>
      </c>
      <c r="D202" s="102" t="s">
        <v>15</v>
      </c>
      <c r="E202" s="83">
        <v>183.82</v>
      </c>
      <c r="F202" s="78">
        <v>183.82</v>
      </c>
      <c r="G202" s="78">
        <v>367.64</v>
      </c>
      <c r="H202" s="78">
        <v>551.46</v>
      </c>
    </row>
    <row r="203" spans="2:8" x14ac:dyDescent="0.25">
      <c r="B203" s="180"/>
      <c r="C203" s="191"/>
      <c r="D203" s="102" t="s">
        <v>16</v>
      </c>
      <c r="E203" s="83">
        <v>187.5</v>
      </c>
      <c r="F203" s="78">
        <v>187.5</v>
      </c>
      <c r="G203" s="78">
        <v>375</v>
      </c>
      <c r="H203" s="78">
        <v>562.5</v>
      </c>
    </row>
    <row r="204" spans="2:8" x14ac:dyDescent="0.25">
      <c r="B204" s="180"/>
      <c r="C204" s="191"/>
      <c r="D204" s="102" t="s">
        <v>17</v>
      </c>
      <c r="E204" s="83">
        <v>191.26</v>
      </c>
      <c r="F204" s="78">
        <v>191.26</v>
      </c>
      <c r="G204" s="78">
        <v>382.5</v>
      </c>
      <c r="H204" s="78">
        <v>573.75</v>
      </c>
    </row>
    <row r="205" spans="2:8" x14ac:dyDescent="0.25">
      <c r="B205" s="180"/>
      <c r="C205" s="191"/>
      <c r="D205" s="102" t="s">
        <v>18</v>
      </c>
      <c r="E205" s="83">
        <v>195.07</v>
      </c>
      <c r="F205" s="78">
        <v>195.07</v>
      </c>
      <c r="G205" s="78">
        <v>390.14</v>
      </c>
      <c r="H205" s="78">
        <v>585.21</v>
      </c>
    </row>
    <row r="206" spans="2:8" x14ac:dyDescent="0.25">
      <c r="B206" s="180"/>
      <c r="C206" s="191"/>
      <c r="D206" s="102" t="s">
        <v>19</v>
      </c>
      <c r="E206" s="83">
        <v>198.97</v>
      </c>
      <c r="F206" s="78">
        <v>198.97</v>
      </c>
      <c r="G206" s="78">
        <v>397.95</v>
      </c>
      <c r="H206" s="78">
        <v>596.91999999999996</v>
      </c>
    </row>
    <row r="207" spans="2:8" x14ac:dyDescent="0.25">
      <c r="B207" s="180"/>
      <c r="C207" s="191"/>
      <c r="D207" s="102" t="s">
        <v>20</v>
      </c>
      <c r="E207" s="83">
        <v>202.96</v>
      </c>
      <c r="F207" s="78">
        <v>202.96</v>
      </c>
      <c r="G207" s="78">
        <v>405.91</v>
      </c>
      <c r="H207" s="78">
        <v>608.87</v>
      </c>
    </row>
    <row r="208" spans="2:8" x14ac:dyDescent="0.25">
      <c r="B208" s="180"/>
      <c r="C208" s="191" t="s">
        <v>21</v>
      </c>
      <c r="D208" s="102" t="s">
        <v>15</v>
      </c>
      <c r="E208" s="83">
        <v>207.01</v>
      </c>
      <c r="F208" s="78">
        <v>207.01</v>
      </c>
      <c r="G208" s="78">
        <v>414.02</v>
      </c>
      <c r="H208" s="78">
        <v>621.03</v>
      </c>
    </row>
    <row r="209" spans="2:8" x14ac:dyDescent="0.25">
      <c r="B209" s="180"/>
      <c r="C209" s="191"/>
      <c r="D209" s="102" t="s">
        <v>16</v>
      </c>
      <c r="E209" s="83">
        <v>211.16</v>
      </c>
      <c r="F209" s="78">
        <v>211.16</v>
      </c>
      <c r="G209" s="78">
        <v>422.31</v>
      </c>
      <c r="H209" s="78">
        <v>633.47</v>
      </c>
    </row>
    <row r="210" spans="2:8" x14ac:dyDescent="0.25">
      <c r="B210" s="180"/>
      <c r="C210" s="191"/>
      <c r="D210" s="102" t="s">
        <v>17</v>
      </c>
      <c r="E210" s="83">
        <v>215.37</v>
      </c>
      <c r="F210" s="78">
        <v>215.37</v>
      </c>
      <c r="G210" s="78">
        <v>430.75</v>
      </c>
      <c r="H210" s="78">
        <v>646.11</v>
      </c>
    </row>
    <row r="211" spans="2:8" x14ac:dyDescent="0.25">
      <c r="B211" s="180"/>
      <c r="C211" s="191"/>
      <c r="D211" s="102" t="s">
        <v>18</v>
      </c>
      <c r="E211" s="83">
        <v>219.69</v>
      </c>
      <c r="F211" s="78">
        <v>219.69</v>
      </c>
      <c r="G211" s="78">
        <v>439.36</v>
      </c>
      <c r="H211" s="78">
        <v>659.05</v>
      </c>
    </row>
    <row r="212" spans="2:8" x14ac:dyDescent="0.25">
      <c r="B212" s="180"/>
      <c r="C212" s="191"/>
      <c r="D212" s="102" t="s">
        <v>19</v>
      </c>
      <c r="E212" s="83">
        <v>224.08</v>
      </c>
      <c r="F212" s="78">
        <v>224.08</v>
      </c>
      <c r="G212" s="84">
        <v>448.15</v>
      </c>
      <c r="H212" s="78">
        <v>672.21</v>
      </c>
    </row>
    <row r="213" spans="2:8" x14ac:dyDescent="0.25">
      <c r="B213" s="180"/>
      <c r="C213" s="191"/>
      <c r="D213" s="102" t="s">
        <v>20</v>
      </c>
      <c r="E213" s="83">
        <v>228.56</v>
      </c>
      <c r="F213" s="78">
        <v>228.56</v>
      </c>
      <c r="G213" s="84">
        <v>457.11</v>
      </c>
      <c r="H213" s="78">
        <v>685.67</v>
      </c>
    </row>
    <row r="214" spans="2:8" x14ac:dyDescent="0.25">
      <c r="B214" s="180"/>
      <c r="C214" s="179" t="s">
        <v>112</v>
      </c>
      <c r="D214" s="102" t="s">
        <v>15</v>
      </c>
      <c r="E214" s="85">
        <v>233.12</v>
      </c>
      <c r="F214" s="86">
        <v>233.12</v>
      </c>
      <c r="G214" s="87">
        <v>466.25</v>
      </c>
      <c r="H214" s="78">
        <v>699.37</v>
      </c>
    </row>
    <row r="215" spans="2:8" x14ac:dyDescent="0.25">
      <c r="B215" s="180"/>
      <c r="C215" s="179"/>
      <c r="D215" s="102" t="s">
        <v>16</v>
      </c>
      <c r="E215" s="85">
        <v>237.8</v>
      </c>
      <c r="F215" s="86">
        <v>237.8</v>
      </c>
      <c r="G215" s="87">
        <v>475.58</v>
      </c>
      <c r="H215" s="78">
        <v>713.38</v>
      </c>
    </row>
    <row r="216" spans="2:8" x14ac:dyDescent="0.25">
      <c r="B216" s="180"/>
      <c r="C216" s="179"/>
      <c r="D216" s="102" t="s">
        <v>17</v>
      </c>
      <c r="E216" s="85">
        <v>242.55</v>
      </c>
      <c r="F216" s="86">
        <v>242.55</v>
      </c>
      <c r="G216" s="87">
        <v>485.09</v>
      </c>
      <c r="H216" s="78">
        <v>727.64</v>
      </c>
    </row>
    <row r="217" spans="2:8" x14ac:dyDescent="0.25">
      <c r="B217" s="180"/>
      <c r="C217" s="179"/>
      <c r="D217" s="102" t="s">
        <v>18</v>
      </c>
      <c r="E217" s="85">
        <v>247.4</v>
      </c>
      <c r="F217" s="86">
        <v>247.4</v>
      </c>
      <c r="G217" s="87">
        <v>494.8</v>
      </c>
      <c r="H217" s="78">
        <v>742.21</v>
      </c>
    </row>
    <row r="218" spans="2:8" x14ac:dyDescent="0.25">
      <c r="B218" s="180"/>
      <c r="C218" s="179"/>
      <c r="D218" s="102" t="s">
        <v>19</v>
      </c>
      <c r="E218" s="85">
        <v>252.35</v>
      </c>
      <c r="F218" s="86">
        <v>252.35</v>
      </c>
      <c r="G218" s="87">
        <v>504.69</v>
      </c>
      <c r="H218" s="78">
        <v>757.05</v>
      </c>
    </row>
    <row r="219" spans="2:8" x14ac:dyDescent="0.25">
      <c r="B219" s="190"/>
      <c r="C219" s="187"/>
      <c r="D219" s="104" t="s">
        <v>20</v>
      </c>
      <c r="E219" s="89">
        <v>257.39999999999998</v>
      </c>
      <c r="F219" s="90">
        <v>257.39999999999998</v>
      </c>
      <c r="G219" s="91">
        <v>514.79</v>
      </c>
      <c r="H219" s="92">
        <v>772.19</v>
      </c>
    </row>
    <row r="220" spans="2:8" x14ac:dyDescent="0.25">
      <c r="B220" s="180" t="s">
        <v>115</v>
      </c>
      <c r="C220" s="181" t="s">
        <v>116</v>
      </c>
      <c r="D220" s="181" t="s">
        <v>117</v>
      </c>
      <c r="E220" s="182" t="s">
        <v>106</v>
      </c>
      <c r="F220" s="182"/>
      <c r="G220" s="182"/>
      <c r="H220" s="182"/>
    </row>
    <row r="221" spans="2:8" ht="30" x14ac:dyDescent="0.25">
      <c r="B221" s="180"/>
      <c r="C221" s="181"/>
      <c r="D221" s="181"/>
      <c r="E221" s="101" t="s">
        <v>118</v>
      </c>
      <c r="F221" s="101" t="s">
        <v>107</v>
      </c>
      <c r="G221" s="101" t="s">
        <v>108</v>
      </c>
      <c r="H221" s="101" t="s">
        <v>109</v>
      </c>
    </row>
    <row r="222" spans="2:8" x14ac:dyDescent="0.25">
      <c r="B222" s="184" t="s">
        <v>120</v>
      </c>
      <c r="C222" s="183" t="s">
        <v>14</v>
      </c>
      <c r="D222" s="102" t="s">
        <v>15</v>
      </c>
      <c r="E222" s="78">
        <v>222.12</v>
      </c>
      <c r="F222" s="78">
        <v>222.12</v>
      </c>
      <c r="G222" s="78">
        <v>444.26</v>
      </c>
      <c r="H222" s="78">
        <v>666.38</v>
      </c>
    </row>
    <row r="223" spans="2:8" x14ac:dyDescent="0.25">
      <c r="B223" s="185"/>
      <c r="C223" s="183"/>
      <c r="D223" s="102" t="s">
        <v>16</v>
      </c>
      <c r="E223" s="78">
        <v>226.58</v>
      </c>
      <c r="F223" s="78">
        <v>226.58</v>
      </c>
      <c r="G223" s="78">
        <v>453.15</v>
      </c>
      <c r="H223" s="78">
        <v>679.74</v>
      </c>
    </row>
    <row r="224" spans="2:8" x14ac:dyDescent="0.25">
      <c r="B224" s="185"/>
      <c r="C224" s="183"/>
      <c r="D224" s="102" t="s">
        <v>17</v>
      </c>
      <c r="E224" s="78">
        <v>231.1</v>
      </c>
      <c r="F224" s="78">
        <v>231.1</v>
      </c>
      <c r="G224" s="78">
        <v>462.22</v>
      </c>
      <c r="H224" s="78">
        <v>693.32</v>
      </c>
    </row>
    <row r="225" spans="2:8" x14ac:dyDescent="0.25">
      <c r="B225" s="185"/>
      <c r="C225" s="183"/>
      <c r="D225" s="102" t="s">
        <v>18</v>
      </c>
      <c r="E225" s="78">
        <v>235.72</v>
      </c>
      <c r="F225" s="78">
        <v>235.72</v>
      </c>
      <c r="G225" s="78">
        <v>471.44</v>
      </c>
      <c r="H225" s="78">
        <v>707.16</v>
      </c>
    </row>
    <row r="226" spans="2:8" x14ac:dyDescent="0.25">
      <c r="B226" s="185"/>
      <c r="C226" s="183"/>
      <c r="D226" s="102" t="s">
        <v>19</v>
      </c>
      <c r="E226" s="78">
        <v>240.44</v>
      </c>
      <c r="F226" s="78">
        <v>240.44</v>
      </c>
      <c r="G226" s="78">
        <v>480.87</v>
      </c>
      <c r="H226" s="78">
        <v>721.31</v>
      </c>
    </row>
    <row r="227" spans="2:8" x14ac:dyDescent="0.25">
      <c r="B227" s="185"/>
      <c r="C227" s="183"/>
      <c r="D227" s="102" t="s">
        <v>20</v>
      </c>
      <c r="E227" s="78">
        <v>245.24</v>
      </c>
      <c r="F227" s="78">
        <v>245.24</v>
      </c>
      <c r="G227" s="78">
        <v>490.5</v>
      </c>
      <c r="H227" s="78">
        <v>735.74</v>
      </c>
    </row>
    <row r="228" spans="2:8" x14ac:dyDescent="0.25">
      <c r="B228" s="185"/>
      <c r="C228" s="183" t="s">
        <v>21</v>
      </c>
      <c r="D228" s="102" t="s">
        <v>15</v>
      </c>
      <c r="E228" s="78">
        <v>250.15</v>
      </c>
      <c r="F228" s="78">
        <v>250.15</v>
      </c>
      <c r="G228" s="78">
        <v>500.3</v>
      </c>
      <c r="H228" s="78">
        <v>750.45</v>
      </c>
    </row>
    <row r="229" spans="2:8" x14ac:dyDescent="0.25">
      <c r="B229" s="185"/>
      <c r="C229" s="183"/>
      <c r="D229" s="102" t="s">
        <v>16</v>
      </c>
      <c r="E229" s="78">
        <v>255.16</v>
      </c>
      <c r="F229" s="78">
        <v>255.16</v>
      </c>
      <c r="G229" s="78">
        <v>510.31</v>
      </c>
      <c r="H229" s="78">
        <v>765.48</v>
      </c>
    </row>
    <row r="230" spans="2:8" x14ac:dyDescent="0.25">
      <c r="B230" s="185"/>
      <c r="C230" s="183"/>
      <c r="D230" s="102" t="s">
        <v>17</v>
      </c>
      <c r="E230" s="78">
        <v>260.26</v>
      </c>
      <c r="F230" s="78">
        <v>260.26</v>
      </c>
      <c r="G230" s="78">
        <v>520.52</v>
      </c>
      <c r="H230" s="78">
        <v>780.78</v>
      </c>
    </row>
    <row r="231" spans="2:8" x14ac:dyDescent="0.25">
      <c r="B231" s="185"/>
      <c r="C231" s="183"/>
      <c r="D231" s="102" t="s">
        <v>18</v>
      </c>
      <c r="E231" s="78">
        <v>265.47000000000003</v>
      </c>
      <c r="F231" s="78">
        <v>265.47000000000003</v>
      </c>
      <c r="G231" s="78">
        <v>530.94000000000005</v>
      </c>
      <c r="H231" s="78">
        <v>796.4</v>
      </c>
    </row>
    <row r="232" spans="2:8" x14ac:dyDescent="0.25">
      <c r="B232" s="185"/>
      <c r="C232" s="183"/>
      <c r="D232" s="102" t="s">
        <v>19</v>
      </c>
      <c r="E232" s="78">
        <v>270.77</v>
      </c>
      <c r="F232" s="78">
        <v>270.77</v>
      </c>
      <c r="G232" s="78">
        <v>541.54</v>
      </c>
      <c r="H232" s="78">
        <v>812.3</v>
      </c>
    </row>
    <row r="233" spans="2:8" x14ac:dyDescent="0.25">
      <c r="B233" s="185"/>
      <c r="C233" s="183"/>
      <c r="D233" s="102" t="s">
        <v>20</v>
      </c>
      <c r="E233" s="78">
        <v>276.19</v>
      </c>
      <c r="F233" s="78">
        <v>276.19</v>
      </c>
      <c r="G233" s="78">
        <v>552.36</v>
      </c>
      <c r="H233" s="78">
        <v>828.55</v>
      </c>
    </row>
    <row r="234" spans="2:8" x14ac:dyDescent="0.25">
      <c r="B234" s="185"/>
      <c r="C234" s="187" t="s">
        <v>112</v>
      </c>
      <c r="D234" s="102" t="s">
        <v>15</v>
      </c>
      <c r="E234" s="78">
        <v>281.70999999999998</v>
      </c>
      <c r="F234" s="78">
        <v>281.70999999999998</v>
      </c>
      <c r="G234" s="78">
        <v>563.42999999999995</v>
      </c>
      <c r="H234" s="78">
        <v>845.14</v>
      </c>
    </row>
    <row r="235" spans="2:8" x14ac:dyDescent="0.25">
      <c r="B235" s="185"/>
      <c r="C235" s="188"/>
      <c r="D235" s="102" t="s">
        <v>16</v>
      </c>
      <c r="E235" s="78">
        <v>287.33999999999997</v>
      </c>
      <c r="F235" s="78">
        <v>287.33999999999997</v>
      </c>
      <c r="G235" s="78">
        <v>574.69000000000005</v>
      </c>
      <c r="H235" s="78">
        <v>862.02</v>
      </c>
    </row>
    <row r="236" spans="2:8" x14ac:dyDescent="0.25">
      <c r="B236" s="185"/>
      <c r="C236" s="188"/>
      <c r="D236" s="102" t="s">
        <v>17</v>
      </c>
      <c r="E236" s="78">
        <v>293.08999999999997</v>
      </c>
      <c r="F236" s="78">
        <v>293.08999999999997</v>
      </c>
      <c r="G236" s="78">
        <v>586.19000000000005</v>
      </c>
      <c r="H236" s="78">
        <v>879.28</v>
      </c>
    </row>
    <row r="237" spans="2:8" x14ac:dyDescent="0.25">
      <c r="B237" s="186"/>
      <c r="C237" s="189"/>
      <c r="D237" s="102" t="s">
        <v>18</v>
      </c>
      <c r="E237" s="78">
        <v>298.95</v>
      </c>
      <c r="F237" s="78">
        <v>298.95</v>
      </c>
      <c r="G237" s="78">
        <v>597.91</v>
      </c>
      <c r="H237" s="78">
        <v>896.86</v>
      </c>
    </row>
    <row r="238" spans="2:8" x14ac:dyDescent="0.25">
      <c r="B238" s="232"/>
      <c r="C238" s="187"/>
      <c r="D238" s="102" t="s">
        <v>19</v>
      </c>
      <c r="E238" s="78">
        <v>304.93</v>
      </c>
      <c r="F238" s="78">
        <v>304.93</v>
      </c>
      <c r="G238" s="78">
        <v>609.86</v>
      </c>
      <c r="H238" s="78">
        <v>914.8</v>
      </c>
    </row>
    <row r="239" spans="2:8" x14ac:dyDescent="0.25">
      <c r="B239" s="233"/>
      <c r="C239" s="189"/>
      <c r="D239" s="102" t="s">
        <v>20</v>
      </c>
      <c r="E239" s="78">
        <v>311.02</v>
      </c>
      <c r="F239" s="78">
        <v>311.08999999999997</v>
      </c>
      <c r="G239" s="78">
        <v>622.05999999999995</v>
      </c>
      <c r="H239" s="78">
        <v>933.09</v>
      </c>
    </row>
    <row r="241" spans="2:8" x14ac:dyDescent="0.25">
      <c r="B241" s="180" t="s">
        <v>115</v>
      </c>
      <c r="C241" s="181" t="s">
        <v>116</v>
      </c>
      <c r="D241" s="181" t="s">
        <v>117</v>
      </c>
      <c r="E241" s="182" t="s">
        <v>106</v>
      </c>
      <c r="F241" s="182"/>
      <c r="G241" s="182"/>
      <c r="H241" s="182"/>
    </row>
    <row r="242" spans="2:8" ht="30" x14ac:dyDescent="0.25">
      <c r="B242" s="180"/>
      <c r="C242" s="181"/>
      <c r="D242" s="181"/>
      <c r="E242" s="101" t="s">
        <v>118</v>
      </c>
      <c r="F242" s="101" t="s">
        <v>107</v>
      </c>
      <c r="G242" s="101" t="s">
        <v>108</v>
      </c>
      <c r="H242" s="101" t="s">
        <v>109</v>
      </c>
    </row>
    <row r="243" spans="2:8" x14ac:dyDescent="0.25">
      <c r="B243" s="183" t="s">
        <v>669</v>
      </c>
      <c r="C243" s="179" t="s">
        <v>14</v>
      </c>
      <c r="D243" s="102" t="s">
        <v>15</v>
      </c>
      <c r="E243" s="78">
        <v>151.38999999999999</v>
      </c>
      <c r="F243" s="78">
        <v>151.38999999999999</v>
      </c>
      <c r="G243" s="78">
        <v>302.76</v>
      </c>
      <c r="H243" s="78">
        <v>454.15</v>
      </c>
    </row>
    <row r="244" spans="2:8" x14ac:dyDescent="0.25">
      <c r="B244" s="183"/>
      <c r="C244" s="179"/>
      <c r="D244" s="102" t="s">
        <v>16</v>
      </c>
      <c r="E244" s="78">
        <v>154.41</v>
      </c>
      <c r="F244" s="78">
        <v>154.41</v>
      </c>
      <c r="G244" s="78">
        <v>308.82</v>
      </c>
      <c r="H244" s="78">
        <v>463.22</v>
      </c>
    </row>
    <row r="245" spans="2:8" x14ac:dyDescent="0.25">
      <c r="B245" s="183"/>
      <c r="C245" s="179"/>
      <c r="D245" s="102" t="s">
        <v>17</v>
      </c>
      <c r="E245" s="78">
        <v>157.49</v>
      </c>
      <c r="F245" s="78">
        <v>157.49</v>
      </c>
      <c r="G245" s="78">
        <v>314.99</v>
      </c>
      <c r="H245" s="78">
        <v>472.48</v>
      </c>
    </row>
    <row r="246" spans="2:8" x14ac:dyDescent="0.25">
      <c r="B246" s="183"/>
      <c r="C246" s="179"/>
      <c r="D246" s="102" t="s">
        <v>18</v>
      </c>
      <c r="E246" s="78">
        <v>160.65</v>
      </c>
      <c r="F246" s="78">
        <v>160.65</v>
      </c>
      <c r="G246" s="78">
        <v>321.27999999999997</v>
      </c>
      <c r="H246" s="78">
        <v>481.93</v>
      </c>
    </row>
    <row r="247" spans="2:8" x14ac:dyDescent="0.25">
      <c r="B247" s="183"/>
      <c r="C247" s="179"/>
      <c r="D247" s="102" t="s">
        <v>19</v>
      </c>
      <c r="E247" s="78">
        <v>163.85</v>
      </c>
      <c r="F247" s="78">
        <v>163.85</v>
      </c>
      <c r="G247" s="78">
        <v>327.71</v>
      </c>
      <c r="H247" s="78">
        <v>491.57</v>
      </c>
    </row>
    <row r="248" spans="2:8" x14ac:dyDescent="0.25">
      <c r="B248" s="183"/>
      <c r="C248" s="179"/>
      <c r="D248" s="102" t="s">
        <v>20</v>
      </c>
      <c r="E248" s="78">
        <v>167.14</v>
      </c>
      <c r="F248" s="78">
        <v>167.14</v>
      </c>
      <c r="G248" s="78">
        <v>334.28</v>
      </c>
      <c r="H248" s="78">
        <v>501.42</v>
      </c>
    </row>
    <row r="249" spans="2:8" x14ac:dyDescent="0.25">
      <c r="B249" s="183"/>
      <c r="C249" s="179" t="s">
        <v>21</v>
      </c>
      <c r="D249" s="102" t="s">
        <v>15</v>
      </c>
      <c r="E249" s="78">
        <v>170.47</v>
      </c>
      <c r="F249" s="78">
        <v>170.47</v>
      </c>
      <c r="G249" s="78">
        <v>340.95</v>
      </c>
      <c r="H249" s="78">
        <v>511.42</v>
      </c>
    </row>
    <row r="250" spans="2:8" x14ac:dyDescent="0.25">
      <c r="B250" s="183"/>
      <c r="C250" s="179"/>
      <c r="D250" s="102" t="s">
        <v>16</v>
      </c>
      <c r="E250" s="78">
        <v>173.88</v>
      </c>
      <c r="F250" s="78">
        <v>173.88</v>
      </c>
      <c r="G250" s="78">
        <v>347.77</v>
      </c>
      <c r="H250" s="78">
        <v>521.65</v>
      </c>
    </row>
    <row r="251" spans="2:8" x14ac:dyDescent="0.25">
      <c r="B251" s="183"/>
      <c r="C251" s="179"/>
      <c r="D251" s="102" t="s">
        <v>17</v>
      </c>
      <c r="E251" s="78">
        <v>177.37</v>
      </c>
      <c r="F251" s="78">
        <v>177.37</v>
      </c>
      <c r="G251" s="78">
        <v>354.73</v>
      </c>
      <c r="H251" s="78">
        <v>532.1</v>
      </c>
    </row>
    <row r="252" spans="2:8" x14ac:dyDescent="0.25">
      <c r="B252" s="183"/>
      <c r="C252" s="179"/>
      <c r="D252" s="102" t="s">
        <v>18</v>
      </c>
      <c r="E252" s="78">
        <v>180.91</v>
      </c>
      <c r="F252" s="78">
        <v>180.91</v>
      </c>
      <c r="G252" s="78">
        <v>361.81</v>
      </c>
      <c r="H252" s="78">
        <v>542.73</v>
      </c>
    </row>
    <row r="253" spans="2:8" x14ac:dyDescent="0.25">
      <c r="B253" s="183"/>
      <c r="C253" s="179"/>
      <c r="D253" s="102" t="s">
        <v>19</v>
      </c>
      <c r="E253" s="78">
        <v>184.53</v>
      </c>
      <c r="F253" s="78">
        <v>184.53</v>
      </c>
      <c r="G253" s="78">
        <v>369.06</v>
      </c>
      <c r="H253" s="78">
        <v>553.58000000000004</v>
      </c>
    </row>
    <row r="254" spans="2:8" x14ac:dyDescent="0.25">
      <c r="B254" s="183"/>
      <c r="C254" s="179"/>
      <c r="D254" s="102" t="s">
        <v>20</v>
      </c>
      <c r="E254" s="78">
        <v>188.22</v>
      </c>
      <c r="F254" s="78">
        <v>188.22</v>
      </c>
      <c r="G254" s="78">
        <v>376.45</v>
      </c>
      <c r="H254" s="78">
        <v>564.66999999999996</v>
      </c>
    </row>
    <row r="255" spans="2:8" x14ac:dyDescent="0.25">
      <c r="B255" s="183"/>
      <c r="C255" s="179" t="s">
        <v>112</v>
      </c>
      <c r="D255" s="102" t="s">
        <v>15</v>
      </c>
      <c r="E255" s="78">
        <v>191.98</v>
      </c>
      <c r="F255" s="78">
        <v>191.98</v>
      </c>
      <c r="G255" s="78">
        <v>383.97</v>
      </c>
      <c r="H255" s="78">
        <v>575.95000000000005</v>
      </c>
    </row>
    <row r="256" spans="2:8" x14ac:dyDescent="0.25">
      <c r="B256" s="183"/>
      <c r="C256" s="179"/>
      <c r="D256" s="102" t="s">
        <v>16</v>
      </c>
      <c r="E256" s="78">
        <v>195.83</v>
      </c>
      <c r="F256" s="78">
        <v>195.83</v>
      </c>
      <c r="G256" s="78">
        <v>391.65</v>
      </c>
      <c r="H256" s="78">
        <v>587.49</v>
      </c>
    </row>
    <row r="257" spans="2:8" x14ac:dyDescent="0.25">
      <c r="B257" s="183"/>
      <c r="C257" s="179"/>
      <c r="D257" s="102" t="s">
        <v>17</v>
      </c>
      <c r="E257" s="78">
        <v>199.74</v>
      </c>
      <c r="F257" s="78">
        <v>199.74</v>
      </c>
      <c r="G257" s="78">
        <v>399.48</v>
      </c>
      <c r="H257" s="78">
        <v>599.23</v>
      </c>
    </row>
    <row r="258" spans="2:8" x14ac:dyDescent="0.25">
      <c r="B258" s="183"/>
      <c r="C258" s="179"/>
      <c r="D258" s="102" t="s">
        <v>18</v>
      </c>
      <c r="E258" s="78">
        <v>203.73</v>
      </c>
      <c r="F258" s="78">
        <v>203.73</v>
      </c>
      <c r="G258" s="78">
        <v>407.48</v>
      </c>
      <c r="H258" s="78">
        <v>611.21</v>
      </c>
    </row>
    <row r="259" spans="2:8" x14ac:dyDescent="0.25">
      <c r="B259" s="183"/>
      <c r="C259" s="179"/>
      <c r="D259" s="102" t="s">
        <v>19</v>
      </c>
      <c r="E259" s="78">
        <v>207.8</v>
      </c>
      <c r="F259" s="78">
        <v>207.8</v>
      </c>
      <c r="G259" s="78">
        <v>415.61</v>
      </c>
      <c r="H259" s="78">
        <v>623.42999999999995</v>
      </c>
    </row>
    <row r="260" spans="2:8" x14ac:dyDescent="0.25">
      <c r="B260" s="183"/>
      <c r="C260" s="179"/>
      <c r="D260" s="102" t="s">
        <v>20</v>
      </c>
      <c r="E260" s="78">
        <v>211.96</v>
      </c>
      <c r="F260" s="78">
        <v>211.96</v>
      </c>
      <c r="G260" s="78">
        <v>423.93</v>
      </c>
      <c r="H260" s="78">
        <v>635.9</v>
      </c>
    </row>
    <row r="263" spans="2:8" x14ac:dyDescent="0.25">
      <c r="B263" t="s">
        <v>122</v>
      </c>
    </row>
    <row r="264" spans="2:8" x14ac:dyDescent="0.25">
      <c r="B264" s="179" t="s">
        <v>123</v>
      </c>
      <c r="C264" s="179"/>
      <c r="D264" s="179"/>
      <c r="E264" s="179"/>
      <c r="F264" s="179"/>
      <c r="G264" s="179"/>
      <c r="H264" s="179"/>
    </row>
    <row r="265" spans="2:8" x14ac:dyDescent="0.25">
      <c r="B265" s="180" t="s">
        <v>115</v>
      </c>
      <c r="C265" s="181" t="s">
        <v>116</v>
      </c>
      <c r="D265" s="181" t="s">
        <v>117</v>
      </c>
      <c r="E265" s="182" t="s">
        <v>106</v>
      </c>
      <c r="F265" s="182"/>
      <c r="G265" s="182"/>
      <c r="H265" s="182"/>
    </row>
    <row r="266" spans="2:8" ht="30" x14ac:dyDescent="0.25">
      <c r="B266" s="180"/>
      <c r="C266" s="181"/>
      <c r="D266" s="181"/>
      <c r="E266" s="101" t="s">
        <v>118</v>
      </c>
      <c r="F266" s="101" t="s">
        <v>107</v>
      </c>
      <c r="G266" s="101" t="s">
        <v>108</v>
      </c>
      <c r="H266" s="101" t="s">
        <v>109</v>
      </c>
    </row>
    <row r="267" spans="2:8" x14ac:dyDescent="0.25">
      <c r="B267" s="183" t="s">
        <v>124</v>
      </c>
      <c r="C267" s="179" t="s">
        <v>14</v>
      </c>
      <c r="D267" s="100" t="s">
        <v>15</v>
      </c>
      <c r="E267" s="78">
        <v>128.21</v>
      </c>
      <c r="F267" s="78">
        <v>128.21</v>
      </c>
      <c r="G267" s="78">
        <v>256.43</v>
      </c>
      <c r="H267" s="78">
        <v>384.65</v>
      </c>
    </row>
    <row r="268" spans="2:8" x14ac:dyDescent="0.25">
      <c r="B268" s="183"/>
      <c r="C268" s="179"/>
      <c r="D268" s="100" t="s">
        <v>16</v>
      </c>
      <c r="E268" s="78">
        <v>130.78</v>
      </c>
      <c r="F268" s="78">
        <v>130.78</v>
      </c>
      <c r="G268" s="78">
        <v>261.55</v>
      </c>
      <c r="H268" s="78">
        <v>392.33</v>
      </c>
    </row>
    <row r="269" spans="2:8" x14ac:dyDescent="0.25">
      <c r="B269" s="183"/>
      <c r="C269" s="179"/>
      <c r="D269" s="100" t="s">
        <v>17</v>
      </c>
      <c r="E269" s="78">
        <v>133.38999999999999</v>
      </c>
      <c r="F269" s="78">
        <v>133.38999999999999</v>
      </c>
      <c r="G269" s="78">
        <v>266.8</v>
      </c>
      <c r="H269" s="78">
        <v>400.19</v>
      </c>
    </row>
    <row r="270" spans="2:8" x14ac:dyDescent="0.25">
      <c r="B270" s="183"/>
      <c r="C270" s="179"/>
      <c r="D270" s="100" t="s">
        <v>18</v>
      </c>
      <c r="E270" s="78">
        <v>136.07</v>
      </c>
      <c r="F270" s="78">
        <v>136.07</v>
      </c>
      <c r="G270" s="78">
        <v>272.13</v>
      </c>
      <c r="H270" s="78">
        <v>408.2</v>
      </c>
    </row>
    <row r="271" spans="2:8" x14ac:dyDescent="0.25">
      <c r="B271" s="183"/>
      <c r="C271" s="179"/>
      <c r="D271" s="100" t="s">
        <v>19</v>
      </c>
      <c r="E271" s="78">
        <v>138.78</v>
      </c>
      <c r="F271" s="78">
        <v>138.78</v>
      </c>
      <c r="G271" s="78">
        <v>277.56</v>
      </c>
      <c r="H271" s="78">
        <v>416.34</v>
      </c>
    </row>
    <row r="272" spans="2:8" x14ac:dyDescent="0.25">
      <c r="B272" s="183"/>
      <c r="C272" s="179"/>
      <c r="D272" s="100" t="s">
        <v>20</v>
      </c>
      <c r="E272" s="78">
        <v>141.56</v>
      </c>
      <c r="F272" s="78">
        <v>141.56</v>
      </c>
      <c r="G272" s="78">
        <v>283.13</v>
      </c>
      <c r="H272" s="78">
        <v>424.69</v>
      </c>
    </row>
    <row r="273" spans="2:9" x14ac:dyDescent="0.25">
      <c r="B273" s="183"/>
      <c r="C273" s="183" t="s">
        <v>21</v>
      </c>
      <c r="D273" s="100" t="s">
        <v>15</v>
      </c>
      <c r="E273" s="78">
        <v>144.38999999999999</v>
      </c>
      <c r="F273" s="78">
        <v>144.38999999999999</v>
      </c>
      <c r="G273" s="78">
        <v>288.77999999999997</v>
      </c>
      <c r="H273" s="78">
        <v>433.18</v>
      </c>
    </row>
    <row r="274" spans="2:9" x14ac:dyDescent="0.25">
      <c r="B274" s="183"/>
      <c r="C274" s="183"/>
      <c r="D274" s="100" t="s">
        <v>16</v>
      </c>
      <c r="E274" s="78">
        <v>147.28</v>
      </c>
      <c r="F274" s="78">
        <v>147.28</v>
      </c>
      <c r="G274" s="78">
        <v>294.56</v>
      </c>
      <c r="H274" s="78">
        <v>441.84</v>
      </c>
    </row>
    <row r="275" spans="2:9" x14ac:dyDescent="0.25">
      <c r="B275" s="183"/>
      <c r="C275" s="183"/>
      <c r="D275" s="100" t="s">
        <v>17</v>
      </c>
      <c r="E275" s="78">
        <v>150.22</v>
      </c>
      <c r="F275" s="78">
        <v>150.22</v>
      </c>
      <c r="G275" s="78">
        <v>300.43</v>
      </c>
      <c r="H275" s="78">
        <v>450.65</v>
      </c>
    </row>
    <row r="276" spans="2:9" x14ac:dyDescent="0.25">
      <c r="B276" s="183"/>
      <c r="C276" s="183"/>
      <c r="D276" s="100" t="s">
        <v>18</v>
      </c>
      <c r="E276" s="78">
        <v>153.22999999999999</v>
      </c>
      <c r="F276" s="78">
        <v>153.22999999999999</v>
      </c>
      <c r="G276" s="78">
        <v>306.45999999999998</v>
      </c>
      <c r="H276" s="78">
        <v>459.69</v>
      </c>
    </row>
    <row r="277" spans="2:9" x14ac:dyDescent="0.25">
      <c r="B277" s="183"/>
      <c r="C277" s="183"/>
      <c r="D277" s="100" t="s">
        <v>19</v>
      </c>
      <c r="E277" s="78">
        <v>156.30000000000001</v>
      </c>
      <c r="F277" s="78">
        <v>156.30000000000001</v>
      </c>
      <c r="G277" s="78">
        <v>312.58999999999997</v>
      </c>
      <c r="H277" s="78">
        <v>468.89</v>
      </c>
    </row>
    <row r="278" spans="2:9" x14ac:dyDescent="0.25">
      <c r="B278" s="183"/>
      <c r="C278" s="183"/>
      <c r="D278" s="100" t="s">
        <v>20</v>
      </c>
      <c r="E278" s="78">
        <v>159.41999999999999</v>
      </c>
      <c r="F278" s="78">
        <v>159.41999999999999</v>
      </c>
      <c r="G278" s="78">
        <v>318.83</v>
      </c>
      <c r="H278" s="78">
        <v>478.26</v>
      </c>
    </row>
    <row r="279" spans="2:9" x14ac:dyDescent="0.25">
      <c r="B279" s="183"/>
      <c r="C279" s="179" t="s">
        <v>112</v>
      </c>
      <c r="D279" s="100" t="s">
        <v>15</v>
      </c>
      <c r="E279" s="78">
        <v>162.61000000000001</v>
      </c>
      <c r="F279" s="78">
        <v>162.61000000000001</v>
      </c>
      <c r="G279" s="78">
        <v>325.22000000000003</v>
      </c>
      <c r="H279" s="78">
        <v>487.83</v>
      </c>
    </row>
    <row r="280" spans="2:9" x14ac:dyDescent="0.25">
      <c r="B280" s="183"/>
      <c r="C280" s="179"/>
      <c r="D280" s="100" t="s">
        <v>16</v>
      </c>
      <c r="E280" s="78">
        <v>165.86</v>
      </c>
      <c r="F280" s="78">
        <v>165.86</v>
      </c>
      <c r="G280" s="78">
        <v>331.72</v>
      </c>
      <c r="H280" s="78">
        <v>497.58</v>
      </c>
    </row>
    <row r="281" spans="2:9" x14ac:dyDescent="0.25">
      <c r="B281" s="183"/>
      <c r="C281" s="179"/>
      <c r="D281" s="100" t="s">
        <v>17</v>
      </c>
      <c r="E281" s="78">
        <v>169.17</v>
      </c>
      <c r="F281" s="78">
        <v>169.17</v>
      </c>
      <c r="G281" s="93">
        <v>338.36</v>
      </c>
      <c r="H281" s="78">
        <v>507.54</v>
      </c>
    </row>
    <row r="282" spans="2:9" x14ac:dyDescent="0.25">
      <c r="B282" s="183"/>
      <c r="C282" s="179"/>
      <c r="D282" s="100" t="s">
        <v>18</v>
      </c>
      <c r="E282" s="78">
        <v>172.55</v>
      </c>
      <c r="F282" s="78">
        <v>172.55</v>
      </c>
      <c r="G282" s="93">
        <v>345.11</v>
      </c>
      <c r="H282" s="78">
        <v>517.66</v>
      </c>
    </row>
    <row r="283" spans="2:9" x14ac:dyDescent="0.25">
      <c r="B283" s="183"/>
      <c r="C283" s="179"/>
      <c r="D283" s="100" t="s">
        <v>19</v>
      </c>
      <c r="E283" s="78">
        <v>176.01</v>
      </c>
      <c r="F283" s="78">
        <v>176.01</v>
      </c>
      <c r="G283" s="78">
        <v>352.01</v>
      </c>
      <c r="H283" s="78">
        <v>528.02</v>
      </c>
    </row>
    <row r="284" spans="2:9" x14ac:dyDescent="0.25">
      <c r="B284" s="183"/>
      <c r="C284" s="179"/>
      <c r="D284" s="100" t="s">
        <v>20</v>
      </c>
      <c r="E284" s="78">
        <v>179.52</v>
      </c>
      <c r="F284" s="78">
        <v>179.52</v>
      </c>
      <c r="G284" s="78">
        <v>359.06</v>
      </c>
      <c r="H284" s="78">
        <v>538.57000000000005</v>
      </c>
    </row>
    <row r="288" spans="2:9" ht="21" x14ac:dyDescent="0.35">
      <c r="B288" s="178" t="s">
        <v>629</v>
      </c>
      <c r="C288" s="178"/>
      <c r="D288" s="178"/>
      <c r="E288" s="178"/>
      <c r="F288" s="178"/>
      <c r="G288" s="178"/>
      <c r="H288" s="178"/>
      <c r="I288" s="178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3">
        <v>3374.44</v>
      </c>
      <c r="D294" s="16">
        <v>1687.22</v>
      </c>
      <c r="F294" s="15"/>
      <c r="J294" s="15"/>
      <c r="K294" s="15"/>
      <c r="L294" s="15"/>
    </row>
    <row r="295" spans="2:12" x14ac:dyDescent="0.25">
      <c r="B295" s="2" t="s">
        <v>39</v>
      </c>
      <c r="C295" s="3">
        <v>5455.08</v>
      </c>
      <c r="D295" s="16">
        <v>2727.54</v>
      </c>
      <c r="F295" s="15"/>
      <c r="J295" s="15"/>
      <c r="K295" s="15"/>
      <c r="L295" s="15"/>
    </row>
    <row r="296" spans="2:12" x14ac:dyDescent="0.25">
      <c r="B296" s="2" t="s">
        <v>40</v>
      </c>
      <c r="C296" s="3">
        <v>6779.14</v>
      </c>
      <c r="D296" s="16">
        <v>3389.57</v>
      </c>
      <c r="F296" s="15"/>
      <c r="J296" s="15"/>
      <c r="K296" s="15"/>
      <c r="L296" s="15"/>
    </row>
    <row r="297" spans="2:12" x14ac:dyDescent="0.25">
      <c r="B297" s="2" t="s">
        <v>41</v>
      </c>
      <c r="C297" s="3">
        <v>7724.88</v>
      </c>
      <c r="D297" s="16">
        <v>3862.44</v>
      </c>
      <c r="F297" s="15"/>
      <c r="J297" s="15"/>
      <c r="K297" s="15"/>
      <c r="L297" s="15"/>
    </row>
    <row r="298" spans="2:12" x14ac:dyDescent="0.25">
      <c r="B298" s="2" t="s">
        <v>42</v>
      </c>
      <c r="C298" s="3">
        <v>11507.87</v>
      </c>
      <c r="D298" s="16">
        <v>5753.9350000000004</v>
      </c>
      <c r="F298" s="15"/>
      <c r="J298" s="15"/>
      <c r="K298" s="15"/>
      <c r="L298" s="15"/>
    </row>
    <row r="299" spans="2:12" x14ac:dyDescent="0.25">
      <c r="B299" s="2" t="s">
        <v>43</v>
      </c>
      <c r="C299" s="3">
        <v>14739.29</v>
      </c>
      <c r="D299" s="16">
        <v>7369.6450000000004</v>
      </c>
      <c r="F299" s="15"/>
      <c r="J299" s="15"/>
      <c r="K299" s="15"/>
      <c r="L299" s="15"/>
    </row>
    <row r="300" spans="2:12" x14ac:dyDescent="0.25">
      <c r="B300" s="2" t="s">
        <v>44</v>
      </c>
      <c r="C300" s="3">
        <v>17452.84</v>
      </c>
      <c r="D300" s="16">
        <v>8726.42</v>
      </c>
      <c r="F300" s="15"/>
      <c r="J300" s="15"/>
      <c r="K300" s="15"/>
      <c r="L300" s="15"/>
    </row>
    <row r="301" spans="2:12" x14ac:dyDescent="0.25">
      <c r="B301" s="2" t="s">
        <v>45</v>
      </c>
      <c r="C301" s="3">
        <v>24411.01</v>
      </c>
      <c r="D301" s="16">
        <v>12205.5</v>
      </c>
      <c r="F301" s="15"/>
      <c r="J301" s="15"/>
      <c r="K301" s="15"/>
      <c r="L301" s="15"/>
    </row>
    <row r="302" spans="2:12" x14ac:dyDescent="0.25">
      <c r="B302" s="2" t="s">
        <v>605</v>
      </c>
      <c r="C302" s="3">
        <v>26411.01</v>
      </c>
      <c r="D302" s="16">
        <v>13205.5</v>
      </c>
      <c r="F302" s="15"/>
      <c r="J302" s="15"/>
      <c r="K302" s="15"/>
      <c r="L302" s="15"/>
    </row>
  </sheetData>
  <mergeCells count="160">
    <mergeCell ref="B6:C6"/>
    <mergeCell ref="B7:C7"/>
    <mergeCell ref="B5:C5"/>
    <mergeCell ref="B24:I24"/>
    <mergeCell ref="B288:I288"/>
    <mergeCell ref="B134:C134"/>
    <mergeCell ref="D134:G134"/>
    <mergeCell ref="H134:J134"/>
    <mergeCell ref="F80:G80"/>
    <mergeCell ref="B83:B88"/>
    <mergeCell ref="B139:C139"/>
    <mergeCell ref="D139:G139"/>
    <mergeCell ref="H139:J139"/>
    <mergeCell ref="B143:C143"/>
    <mergeCell ref="D143:G143"/>
    <mergeCell ref="H143:J143"/>
    <mergeCell ref="E200:H200"/>
    <mergeCell ref="B145:C145"/>
    <mergeCell ref="D145:G145"/>
    <mergeCell ref="H145:J145"/>
    <mergeCell ref="B243:B260"/>
    <mergeCell ref="C243:C248"/>
    <mergeCell ref="C249:C254"/>
    <mergeCell ref="B89:B94"/>
    <mergeCell ref="B95:B100"/>
    <mergeCell ref="B105:F105"/>
    <mergeCell ref="B106:C107"/>
    <mergeCell ref="D106:F106"/>
    <mergeCell ref="B109:B114"/>
    <mergeCell ref="B64:B69"/>
    <mergeCell ref="B70:B75"/>
    <mergeCell ref="B79:G79"/>
    <mergeCell ref="B80:C81"/>
    <mergeCell ref="K139:N139"/>
    <mergeCell ref="B140:C140"/>
    <mergeCell ref="D140:G140"/>
    <mergeCell ref="H140:J140"/>
    <mergeCell ref="K140:N140"/>
    <mergeCell ref="B115:B120"/>
    <mergeCell ref="B121:B126"/>
    <mergeCell ref="B135:C135"/>
    <mergeCell ref="D135:G135"/>
    <mergeCell ref="H135:J135"/>
    <mergeCell ref="K135:N135"/>
    <mergeCell ref="K136:N136"/>
    <mergeCell ref="K137:N137"/>
    <mergeCell ref="K138:N138"/>
    <mergeCell ref="K134:N134"/>
    <mergeCell ref="B130:N130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K145:N145"/>
    <mergeCell ref="E174:G174"/>
    <mergeCell ref="B176:B181"/>
    <mergeCell ref="C176:C181"/>
    <mergeCell ref="H146:J146"/>
    <mergeCell ref="K146:N146"/>
    <mergeCell ref="H147:J147"/>
    <mergeCell ref="B153:I153"/>
    <mergeCell ref="B146:C146"/>
    <mergeCell ref="D146:G146"/>
    <mergeCell ref="B147:C147"/>
    <mergeCell ref="D147:G147"/>
    <mergeCell ref="B167:C167"/>
    <mergeCell ref="B168:C168"/>
    <mergeCell ref="B238:B239"/>
    <mergeCell ref="C238:C239"/>
    <mergeCell ref="B241:B242"/>
    <mergeCell ref="C241:C242"/>
    <mergeCell ref="D241:D242"/>
    <mergeCell ref="E241:H241"/>
    <mergeCell ref="D220:D221"/>
    <mergeCell ref="E220:H220"/>
    <mergeCell ref="B222:B237"/>
    <mergeCell ref="C222:C227"/>
    <mergeCell ref="C228:C233"/>
    <mergeCell ref="C234:C237"/>
    <mergeCell ref="B202:B219"/>
    <mergeCell ref="C202:C207"/>
    <mergeCell ref="C208:C213"/>
    <mergeCell ref="K147:N147"/>
    <mergeCell ref="B148:C148"/>
    <mergeCell ref="D148:G148"/>
    <mergeCell ref="H148:J148"/>
    <mergeCell ref="K148:N148"/>
    <mergeCell ref="B267:B284"/>
    <mergeCell ref="C267:C272"/>
    <mergeCell ref="C273:C278"/>
    <mergeCell ref="C279:C284"/>
    <mergeCell ref="B265:B266"/>
    <mergeCell ref="C265:C266"/>
    <mergeCell ref="D265:D266"/>
    <mergeCell ref="E265:H265"/>
    <mergeCell ref="C214:C219"/>
    <mergeCell ref="B220:B221"/>
    <mergeCell ref="C220:C221"/>
    <mergeCell ref="B182:B187"/>
    <mergeCell ref="C182:C187"/>
    <mergeCell ref="B199:H199"/>
    <mergeCell ref="C255:C260"/>
    <mergeCell ref="B264:H264"/>
    <mergeCell ref="B2:I2"/>
    <mergeCell ref="B200:B201"/>
    <mergeCell ref="C200:C201"/>
    <mergeCell ref="D200:D201"/>
    <mergeCell ref="B27:I27"/>
    <mergeCell ref="B52:I52"/>
    <mergeCell ref="B77:I77"/>
    <mergeCell ref="B103:G103"/>
    <mergeCell ref="B136:C136"/>
    <mergeCell ref="D136:G136"/>
    <mergeCell ref="H136:J136"/>
    <mergeCell ref="B137:C137"/>
    <mergeCell ref="D137:G137"/>
    <mergeCell ref="H137:J137"/>
    <mergeCell ref="B138:C138"/>
    <mergeCell ref="D138:G138"/>
    <mergeCell ref="H138:J138"/>
    <mergeCell ref="B159:C160"/>
    <mergeCell ref="B161:C161"/>
    <mergeCell ref="B162:C162"/>
    <mergeCell ref="B163:C163"/>
    <mergeCell ref="B164:C164"/>
    <mergeCell ref="B165:C165"/>
    <mergeCell ref="B166:C166"/>
    <mergeCell ref="B188:B193"/>
    <mergeCell ref="C188:C193"/>
    <mergeCell ref="B10:B11"/>
    <mergeCell ref="B12:D12"/>
    <mergeCell ref="B14:B15"/>
    <mergeCell ref="B16:D16"/>
    <mergeCell ref="B18:C18"/>
    <mergeCell ref="B19:C19"/>
    <mergeCell ref="C11:E11"/>
    <mergeCell ref="C10:E10"/>
    <mergeCell ref="C14:E14"/>
    <mergeCell ref="C15:E15"/>
    <mergeCell ref="B45:B50"/>
    <mergeCell ref="B54:I54"/>
    <mergeCell ref="B55:C56"/>
    <mergeCell ref="F55:G55"/>
    <mergeCell ref="H55:I55"/>
    <mergeCell ref="B58:B63"/>
    <mergeCell ref="B29:I29"/>
    <mergeCell ref="B30:C31"/>
    <mergeCell ref="D30:F30"/>
    <mergeCell ref="G30:H30"/>
    <mergeCell ref="B33:B38"/>
    <mergeCell ref="B39:B4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topLeftCell="A157" zoomScaleNormal="100" workbookViewId="0">
      <selection activeCell="D161" sqref="D161:G168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3.5703125" customWidth="1"/>
    <col min="11" max="11" width="12.42578125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2" spans="2:9" ht="21" x14ac:dyDescent="0.35">
      <c r="B2" s="178" t="s">
        <v>681</v>
      </c>
      <c r="C2" s="178"/>
      <c r="D2" s="178"/>
      <c r="E2" s="178"/>
      <c r="F2" s="178"/>
      <c r="G2" s="178"/>
      <c r="H2" s="178"/>
      <c r="I2" s="178"/>
    </row>
    <row r="5" spans="2:9" x14ac:dyDescent="0.25">
      <c r="B5" s="218" t="s">
        <v>643</v>
      </c>
      <c r="C5" s="219"/>
      <c r="D5" s="117" t="s">
        <v>644</v>
      </c>
      <c r="E5" s="117" t="s">
        <v>641</v>
      </c>
      <c r="F5" s="117" t="s">
        <v>642</v>
      </c>
    </row>
    <row r="6" spans="2:9" x14ac:dyDescent="0.25">
      <c r="B6" s="220" t="s">
        <v>646</v>
      </c>
      <c r="C6" s="221"/>
      <c r="D6" s="118">
        <v>37589.96</v>
      </c>
      <c r="E6" s="118">
        <v>39717.69</v>
      </c>
      <c r="F6" s="118">
        <v>41845.49</v>
      </c>
    </row>
    <row r="7" spans="2:9" x14ac:dyDescent="0.25">
      <c r="B7" s="220" t="s">
        <v>645</v>
      </c>
      <c r="C7" s="221"/>
      <c r="D7" s="118">
        <v>35710.46</v>
      </c>
      <c r="E7" s="118">
        <v>37731.800000000003</v>
      </c>
      <c r="F7" s="118">
        <v>39753.21</v>
      </c>
    </row>
    <row r="8" spans="2:9" x14ac:dyDescent="0.25">
      <c r="B8" t="s">
        <v>670</v>
      </c>
    </row>
    <row r="10" spans="2:9" x14ac:dyDescent="0.25">
      <c r="B10" s="222" t="s">
        <v>672</v>
      </c>
      <c r="C10" s="215" t="s">
        <v>673</v>
      </c>
      <c r="D10" s="215"/>
      <c r="E10" s="215"/>
      <c r="F10" s="125" t="s">
        <v>674</v>
      </c>
    </row>
    <row r="11" spans="2:9" x14ac:dyDescent="0.25">
      <c r="B11" s="222"/>
      <c r="C11" s="215" t="s">
        <v>675</v>
      </c>
      <c r="D11" s="215"/>
      <c r="E11" s="215"/>
      <c r="F11" s="125" t="s">
        <v>676</v>
      </c>
    </row>
    <row r="12" spans="2:9" x14ac:dyDescent="0.25">
      <c r="B12" s="212" t="s">
        <v>671</v>
      </c>
      <c r="C12" s="213"/>
      <c r="D12" s="213"/>
      <c r="E12" s="126"/>
    </row>
    <row r="13" spans="2:9" x14ac:dyDescent="0.25">
      <c r="B13" s="126"/>
      <c r="C13" s="126"/>
      <c r="D13" s="127"/>
      <c r="E13" s="126"/>
    </row>
    <row r="14" spans="2:9" ht="28.5" customHeight="1" x14ac:dyDescent="0.25">
      <c r="B14" s="214" t="s">
        <v>677</v>
      </c>
      <c r="C14" s="215" t="s">
        <v>684</v>
      </c>
      <c r="D14" s="215"/>
      <c r="E14" s="215"/>
      <c r="F14" s="125" t="s">
        <v>674</v>
      </c>
    </row>
    <row r="15" spans="2:9" ht="47.25" customHeight="1" x14ac:dyDescent="0.25">
      <c r="B15" s="214"/>
      <c r="C15" s="214" t="s">
        <v>679</v>
      </c>
      <c r="D15" s="214"/>
      <c r="E15" s="214"/>
      <c r="F15" s="125" t="s">
        <v>676</v>
      </c>
    </row>
    <row r="16" spans="2:9" ht="31.5" customHeight="1" x14ac:dyDescent="0.25">
      <c r="B16" s="216" t="s">
        <v>683</v>
      </c>
      <c r="C16" s="213"/>
      <c r="D16" s="213"/>
      <c r="E16" s="126"/>
    </row>
    <row r="17" spans="2:9" x14ac:dyDescent="0.25">
      <c r="B17" s="126"/>
      <c r="C17" s="126"/>
      <c r="D17" s="127"/>
      <c r="E17" s="126"/>
    </row>
    <row r="18" spans="2:9" x14ac:dyDescent="0.25">
      <c r="B18" s="217" t="s">
        <v>627</v>
      </c>
      <c r="C18" s="217"/>
      <c r="D18" s="127"/>
      <c r="E18" s="126"/>
    </row>
    <row r="19" spans="2:9" ht="31.5" customHeight="1" x14ac:dyDescent="0.25">
      <c r="B19" s="210" t="s">
        <v>640</v>
      </c>
      <c r="C19" s="211"/>
      <c r="D19" s="127"/>
      <c r="E19" s="126"/>
    </row>
    <row r="20" spans="2:9" x14ac:dyDescent="0.25">
      <c r="B20" s="128" t="s">
        <v>682</v>
      </c>
      <c r="C20" s="126"/>
      <c r="D20" s="127"/>
      <c r="E20" s="126"/>
    </row>
    <row r="21" spans="2:9" x14ac:dyDescent="0.25">
      <c r="B21" s="126"/>
      <c r="C21" s="126"/>
      <c r="D21" s="126"/>
      <c r="E21" s="126"/>
    </row>
    <row r="24" spans="2:9" ht="21" x14ac:dyDescent="0.35">
      <c r="B24" s="178" t="s">
        <v>647</v>
      </c>
      <c r="C24" s="178"/>
      <c r="D24" s="178"/>
      <c r="E24" s="178"/>
      <c r="F24" s="178"/>
      <c r="G24" s="178"/>
      <c r="H24" s="178"/>
      <c r="I24" s="178"/>
    </row>
    <row r="27" spans="2:9" x14ac:dyDescent="0.25">
      <c r="B27" s="205" t="s">
        <v>2</v>
      </c>
      <c r="C27" s="205"/>
      <c r="D27" s="205"/>
      <c r="E27" s="205"/>
      <c r="F27" s="205"/>
      <c r="G27" s="205"/>
      <c r="H27" s="205"/>
      <c r="I27" s="205"/>
    </row>
    <row r="29" spans="2:9" x14ac:dyDescent="0.25">
      <c r="B29" s="204" t="s">
        <v>3</v>
      </c>
      <c r="C29" s="204"/>
      <c r="D29" s="204"/>
      <c r="E29" s="204"/>
      <c r="F29" s="204"/>
      <c r="G29" s="204"/>
      <c r="H29" s="204"/>
      <c r="I29" s="204"/>
    </row>
    <row r="30" spans="2:9" x14ac:dyDescent="0.25">
      <c r="B30" s="183" t="s">
        <v>4</v>
      </c>
      <c r="C30" s="183"/>
      <c r="D30" s="204" t="s">
        <v>5</v>
      </c>
      <c r="E30" s="204"/>
      <c r="F30" s="204"/>
      <c r="G30" s="183" t="s">
        <v>6</v>
      </c>
      <c r="H30" s="183"/>
      <c r="I30" s="2" t="s">
        <v>7</v>
      </c>
    </row>
    <row r="31" spans="2:9" ht="45" x14ac:dyDescent="0.25">
      <c r="B31" s="183"/>
      <c r="C31" s="183"/>
      <c r="D31" s="129" t="s">
        <v>8</v>
      </c>
      <c r="E31" s="130" t="s">
        <v>9</v>
      </c>
      <c r="F31" s="130" t="s">
        <v>10</v>
      </c>
      <c r="G31" s="130" t="s">
        <v>8</v>
      </c>
      <c r="H31" s="130" t="s">
        <v>9</v>
      </c>
      <c r="I31" s="130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11" x14ac:dyDescent="0.25">
      <c r="B33" s="181" t="s">
        <v>14</v>
      </c>
      <c r="C33" s="134" t="s">
        <v>15</v>
      </c>
      <c r="D33" s="3">
        <f>ROUND('Lei 1.218.2024'!D33*1.0462,2)</f>
        <v>8686.9500000000007</v>
      </c>
      <c r="E33" s="3">
        <f>ROUND('Lei 1.218.2024'!E33*1.0462,2)</f>
        <v>4421.49</v>
      </c>
      <c r="F33" s="3">
        <f>ROUND('Lei 1.218.2024'!F33*1.0462,2)</f>
        <v>2815.81</v>
      </c>
      <c r="G33" s="3"/>
      <c r="H33" s="3"/>
      <c r="I33" s="3"/>
    </row>
    <row r="34" spans="2:11" x14ac:dyDescent="0.25">
      <c r="B34" s="181"/>
      <c r="C34" s="134" t="s">
        <v>16</v>
      </c>
      <c r="D34" s="3">
        <f>ROUND('Lei 1.218.2024'!D34*1.0462,2)</f>
        <v>8947.56</v>
      </c>
      <c r="E34" s="3">
        <f>ROUND('Lei 1.218.2024'!E34*1.0462,2)</f>
        <v>4554.13</v>
      </c>
      <c r="F34" s="3">
        <f>ROUND('Lei 1.218.2024'!F34*1.0462,2)</f>
        <v>2900.28</v>
      </c>
      <c r="G34" s="3"/>
      <c r="H34" s="3"/>
      <c r="I34" s="3"/>
    </row>
    <row r="35" spans="2:11" x14ac:dyDescent="0.25">
      <c r="B35" s="181"/>
      <c r="C35" s="134" t="s">
        <v>17</v>
      </c>
      <c r="D35" s="3">
        <f>ROUND('Lei 1.218.2024'!D35*1.0462,2)</f>
        <v>9215.99</v>
      </c>
      <c r="E35" s="3">
        <f>ROUND('Lei 1.218.2024'!E35*1.0462,2)</f>
        <v>4690.75</v>
      </c>
      <c r="F35" s="3">
        <f>ROUND('Lei 1.218.2024'!F35*1.0462,2)</f>
        <v>2987.28</v>
      </c>
      <c r="G35" s="3"/>
      <c r="H35" s="3"/>
      <c r="I35" s="3"/>
    </row>
    <row r="36" spans="2:11" x14ac:dyDescent="0.25">
      <c r="B36" s="181"/>
      <c r="C36" s="134" t="s">
        <v>18</v>
      </c>
      <c r="D36" s="3">
        <f>ROUND('Lei 1.218.2024'!D36*1.0462,2)</f>
        <v>9492.4699999999993</v>
      </c>
      <c r="E36" s="3">
        <f>ROUND('Lei 1.218.2024'!E36*1.0462,2)</f>
        <v>4831.49</v>
      </c>
      <c r="F36" s="3">
        <f>ROUND('Lei 1.218.2024'!F36*1.0462,2)</f>
        <v>3076.9</v>
      </c>
      <c r="G36" s="3">
        <f>ROUND('Lei 1.218.2024'!G36*1.0462,2)</f>
        <v>10916.32</v>
      </c>
      <c r="H36" s="3">
        <f>ROUND('Lei 1.218.2024'!H36*1.0462,2)</f>
        <v>5556.2</v>
      </c>
      <c r="I36" s="3"/>
    </row>
    <row r="37" spans="2:11" x14ac:dyDescent="0.25">
      <c r="B37" s="181"/>
      <c r="C37" s="134" t="s">
        <v>19</v>
      </c>
      <c r="D37" s="3">
        <f>ROUND('Lei 1.218.2024'!D37*1.0462,2)</f>
        <v>9777.24</v>
      </c>
      <c r="E37" s="3">
        <f>ROUND('Lei 1.218.2024'!E37*1.0462,2)</f>
        <v>4976.43</v>
      </c>
      <c r="F37" s="3">
        <f>ROUND('Lei 1.218.2024'!F37*1.0462,2)</f>
        <v>3169.21</v>
      </c>
      <c r="G37" s="3">
        <f>ROUND('Lei 1.218.2024'!G37*1.0462,2)</f>
        <v>11243.83</v>
      </c>
      <c r="H37" s="3">
        <f>ROUND('Lei 1.218.2024'!H37*1.0462,2)</f>
        <v>5722.89</v>
      </c>
      <c r="I37" s="3"/>
    </row>
    <row r="38" spans="2:11" x14ac:dyDescent="0.25">
      <c r="B38" s="181"/>
      <c r="C38" s="134" t="s">
        <v>20</v>
      </c>
      <c r="D38" s="3">
        <f>ROUND('Lei 1.218.2024'!D38*1.0462,2)</f>
        <v>10070.549999999999</v>
      </c>
      <c r="E38" s="3">
        <f>ROUND('Lei 1.218.2024'!E38*1.0462,2)</f>
        <v>5125.72</v>
      </c>
      <c r="F38" s="3">
        <f>ROUND('Lei 1.218.2024'!F38*1.0462,2)</f>
        <v>3264.28</v>
      </c>
      <c r="G38" s="3">
        <f>ROUND('Lei 1.218.2024'!G38*1.0462,2)</f>
        <v>11581.14</v>
      </c>
      <c r="H38" s="3">
        <f>ROUND('Lei 1.218.2024'!H38*1.0462,2)</f>
        <v>5894.58</v>
      </c>
      <c r="I38" s="2"/>
      <c r="K38" s="155"/>
    </row>
    <row r="39" spans="2:11" x14ac:dyDescent="0.25">
      <c r="B39" s="179" t="s">
        <v>21</v>
      </c>
      <c r="C39" s="134" t="s">
        <v>15</v>
      </c>
      <c r="D39" s="3">
        <f>ROUND('Lei 1.218.2024'!D39*1.0462,2)</f>
        <v>10574.09</v>
      </c>
      <c r="E39" s="3">
        <f>ROUND('Lei 1.218.2024'!E39*1.0462,2)</f>
        <v>5382</v>
      </c>
      <c r="F39" s="3">
        <f>ROUND('Lei 1.218.2024'!F39*1.0462,2)</f>
        <v>3427.49</v>
      </c>
      <c r="G39" s="3">
        <f>ROUND('Lei 1.218.2024'!G39*1.0462,2)</f>
        <v>12160.2</v>
      </c>
      <c r="H39" s="3">
        <f>ROUND('Lei 1.218.2024'!H39*1.0462,2)</f>
        <v>6189.31</v>
      </c>
      <c r="I39" s="2"/>
    </row>
    <row r="40" spans="2:11" x14ac:dyDescent="0.25">
      <c r="B40" s="179"/>
      <c r="C40" s="134" t="s">
        <v>16</v>
      </c>
      <c r="D40" s="3">
        <f>ROUND('Lei 1.218.2024'!D40*1.0462,2)</f>
        <v>10891.32</v>
      </c>
      <c r="E40" s="3">
        <f>ROUND('Lei 1.218.2024'!E40*1.0462,2)</f>
        <v>5543.46</v>
      </c>
      <c r="F40" s="3">
        <f>ROUND('Lei 1.218.2024'!F40*1.0462,2)</f>
        <v>3530.32</v>
      </c>
      <c r="G40" s="3">
        <f>ROUND('Lei 1.218.2024'!G40*1.0462,2)</f>
        <v>12525.01</v>
      </c>
      <c r="H40" s="3">
        <f>ROUND('Lei 1.218.2024'!H40*1.0462,2)</f>
        <v>6374.99</v>
      </c>
      <c r="I40" s="2"/>
    </row>
    <row r="41" spans="2:11" x14ac:dyDescent="0.25">
      <c r="B41" s="179"/>
      <c r="C41" s="134" t="s">
        <v>17</v>
      </c>
      <c r="D41" s="3">
        <f>ROUND('Lei 1.218.2024'!D41*1.0462,2)</f>
        <v>11218.06</v>
      </c>
      <c r="E41" s="3">
        <f>ROUND('Lei 1.218.2024'!E41*1.0462,2)</f>
        <v>5709.77</v>
      </c>
      <c r="F41" s="3">
        <f>ROUND('Lei 1.218.2024'!F41*1.0462,2)</f>
        <v>3636.21</v>
      </c>
      <c r="G41" s="3">
        <f>ROUND('Lei 1.218.2024'!G41*1.0462,2)</f>
        <v>12900.77</v>
      </c>
      <c r="H41" s="3">
        <f>ROUND('Lei 1.218.2024'!H41*1.0462,2)</f>
        <v>6566.24</v>
      </c>
      <c r="I41" s="2"/>
    </row>
    <row r="42" spans="2:11" x14ac:dyDescent="0.25">
      <c r="B42" s="179"/>
      <c r="C42" s="134" t="s">
        <v>18</v>
      </c>
      <c r="D42" s="3">
        <f>ROUND('Lei 1.218.2024'!D42*1.0462,2)</f>
        <v>11554.6</v>
      </c>
      <c r="E42" s="3">
        <f>ROUND('Lei 1.218.2024'!E42*1.0462,2)</f>
        <v>5881.06</v>
      </c>
      <c r="F42" s="3">
        <f>ROUND('Lei 1.218.2024'!F42*1.0462,2)</f>
        <v>3745.3</v>
      </c>
      <c r="G42" s="3">
        <f>ROUND('Lei 1.218.2024'!G42*1.0462,2)</f>
        <v>13287.79</v>
      </c>
      <c r="H42" s="3">
        <f>ROUND('Lei 1.218.2024'!H42*1.0462,2)</f>
        <v>6763.23</v>
      </c>
      <c r="I42" s="3">
        <f>ROUND('Lei 1.218.2024'!I42*1.0462,2)</f>
        <v>15280.95</v>
      </c>
    </row>
    <row r="43" spans="2:11" x14ac:dyDescent="0.25">
      <c r="B43" s="179"/>
      <c r="C43" s="134" t="s">
        <v>19</v>
      </c>
      <c r="D43" s="3">
        <f>ROUND('Lei 1.218.2024'!D43*1.0462,2)</f>
        <v>11901.24</v>
      </c>
      <c r="E43" s="3">
        <f>ROUND('Lei 1.218.2024'!E43*1.0462,2)</f>
        <v>6057.49</v>
      </c>
      <c r="F43" s="3">
        <f>ROUND('Lei 1.218.2024'!F43*1.0462,2)</f>
        <v>3857.66</v>
      </c>
      <c r="G43" s="3">
        <f>ROUND('Lei 1.218.2024'!G43*1.0462,2)</f>
        <v>13686.43</v>
      </c>
      <c r="H43" s="3">
        <f>ROUND('Lei 1.218.2024'!H43*1.0462,2)</f>
        <v>6966.12</v>
      </c>
      <c r="I43" s="3">
        <f>ROUND('Lei 1.218.2024'!I43*1.0462,2)</f>
        <v>15739.38</v>
      </c>
    </row>
    <row r="44" spans="2:11" x14ac:dyDescent="0.25">
      <c r="B44" s="179"/>
      <c r="C44" s="134" t="s">
        <v>20</v>
      </c>
      <c r="D44" s="3">
        <f>ROUND('Lei 1.218.2024'!D44*1.0462,2)</f>
        <v>12258.27</v>
      </c>
      <c r="E44" s="3">
        <f>ROUND('Lei 1.218.2024'!E44*1.0462,2)</f>
        <v>6239.21</v>
      </c>
      <c r="F44" s="3">
        <f>ROUND('Lei 1.218.2024'!F44*1.0462,2)</f>
        <v>3973.39</v>
      </c>
      <c r="G44" s="3">
        <f>ROUND('Lei 1.218.2024'!G44*1.0462,2)</f>
        <v>14097.02</v>
      </c>
      <c r="H44" s="3">
        <f>ROUND('Lei 1.218.2024'!H44*1.0462,2)</f>
        <v>7175.11</v>
      </c>
      <c r="I44" s="3">
        <f>ROUND('Lei 1.218.2024'!I44*1.0462,2)</f>
        <v>16211.57</v>
      </c>
    </row>
    <row r="45" spans="2:11" x14ac:dyDescent="0.25">
      <c r="B45" s="179" t="s">
        <v>22</v>
      </c>
      <c r="C45" s="134" t="s">
        <v>15</v>
      </c>
      <c r="D45" s="3">
        <f>ROUND('Lei 1.218.2024'!D45*1.0462,2)</f>
        <v>12871.19</v>
      </c>
      <c r="E45" s="3">
        <f>ROUND('Lei 1.218.2024'!E45*1.0462,2)</f>
        <v>6551.17</v>
      </c>
      <c r="F45" s="3">
        <f>ROUND('Lei 1.218.2024'!F45*1.0462,2)</f>
        <v>4172.07</v>
      </c>
      <c r="G45" s="3">
        <f>ROUND('Lei 1.218.2024'!G45*1.0462,2)</f>
        <v>14801.88</v>
      </c>
      <c r="H45" s="3">
        <f>ROUND('Lei 1.218.2024'!H45*1.0462,2)</f>
        <v>7533.86</v>
      </c>
      <c r="I45" s="3">
        <f>ROUND('Lei 1.218.2024'!I45*1.0462,2)</f>
        <v>17022.14</v>
      </c>
    </row>
    <row r="46" spans="2:11" x14ac:dyDescent="0.25">
      <c r="B46" s="179"/>
      <c r="C46" s="134" t="s">
        <v>16</v>
      </c>
      <c r="D46" s="3">
        <f>ROUND('Lei 1.218.2024'!D46*1.0462,2)</f>
        <v>13257.32</v>
      </c>
      <c r="E46" s="3">
        <f>ROUND('Lei 1.218.2024'!E46*1.0462,2)</f>
        <v>6747.72</v>
      </c>
      <c r="F46" s="3">
        <f>ROUND('Lei 1.218.2024'!F46*1.0462,2)</f>
        <v>4297.22</v>
      </c>
      <c r="G46" s="3">
        <f>ROUND('Lei 1.218.2024'!G46*1.0462,2)</f>
        <v>15245.93</v>
      </c>
      <c r="H46" s="3">
        <f>ROUND('Lei 1.218.2024'!H46*1.0462,2)</f>
        <v>7759.9</v>
      </c>
      <c r="I46" s="3">
        <f>ROUND('Lei 1.218.2024'!I46*1.0462,2)</f>
        <v>17532.810000000001</v>
      </c>
    </row>
    <row r="47" spans="2:11" x14ac:dyDescent="0.25">
      <c r="B47" s="179"/>
      <c r="C47" s="134" t="s">
        <v>17</v>
      </c>
      <c r="D47" s="3">
        <f>ROUND('Lei 1.218.2024'!D47*1.0462,2)</f>
        <v>13655.04</v>
      </c>
      <c r="E47" s="3">
        <f>ROUND('Lei 1.218.2024'!E47*1.0462,2)</f>
        <v>6950.15</v>
      </c>
      <c r="F47" s="3">
        <f>ROUND('Lei 1.218.2024'!F47*1.0462,2)</f>
        <v>4426.1400000000003</v>
      </c>
      <c r="G47" s="3">
        <f>ROUND('Lei 1.218.2024'!G47*1.0462,2)</f>
        <v>15703.32</v>
      </c>
      <c r="H47" s="3">
        <f>ROUND('Lei 1.218.2024'!H47*1.0462,2)</f>
        <v>7992.68</v>
      </c>
      <c r="I47" s="3">
        <f>ROUND('Lei 1.218.2024'!I47*1.0462,2)</f>
        <v>18058.8</v>
      </c>
    </row>
    <row r="48" spans="2:11" x14ac:dyDescent="0.25">
      <c r="B48" s="179"/>
      <c r="C48" s="134" t="s">
        <v>18</v>
      </c>
      <c r="D48" s="3">
        <f>ROUND('Lei 1.218.2024'!D48*1.0462,2)</f>
        <v>14064.7</v>
      </c>
      <c r="E48" s="3">
        <f>ROUND('Lei 1.218.2024'!E48*1.0462,2)</f>
        <v>7158.65</v>
      </c>
      <c r="F48" s="3">
        <f>ROUND('Lei 1.218.2024'!F48*1.0462,2)</f>
        <v>4558.92</v>
      </c>
      <c r="G48" s="3">
        <f>ROUND('Lei 1.218.2024'!G48*1.0462,2)</f>
        <v>16174.41</v>
      </c>
      <c r="H48" s="3">
        <f>ROUND('Lei 1.218.2024'!H48*1.0462,2)</f>
        <v>8232.4699999999993</v>
      </c>
      <c r="I48" s="3">
        <f>ROUND('Lei 1.218.2024'!I48*1.0462,2)</f>
        <v>18600.57</v>
      </c>
    </row>
    <row r="49" spans="2:9" x14ac:dyDescent="0.25">
      <c r="B49" s="179"/>
      <c r="C49" s="134" t="s">
        <v>19</v>
      </c>
      <c r="D49" s="3">
        <f>ROUND('Lei 1.218.2024'!D49*1.0462,2)</f>
        <v>14486.64</v>
      </c>
      <c r="E49" s="3">
        <f>ROUND('Lei 1.218.2024'!E49*1.0462,2)</f>
        <v>7373.4</v>
      </c>
      <c r="F49" s="3">
        <f>ROUND('Lei 1.218.2024'!F49*1.0462,2)</f>
        <v>4695.7</v>
      </c>
      <c r="G49" s="3">
        <f>ROUND('Lei 1.218.2024'!G49*1.0462,2)</f>
        <v>16659.63</v>
      </c>
      <c r="H49" s="3">
        <f>ROUND('Lei 1.218.2024'!H49*1.0462,2)</f>
        <v>8479.4500000000007</v>
      </c>
      <c r="I49" s="3">
        <f>ROUND('Lei 1.218.2024'!I49*1.0462,2)</f>
        <v>19158.580000000002</v>
      </c>
    </row>
    <row r="50" spans="2:9" x14ac:dyDescent="0.25">
      <c r="B50" s="179"/>
      <c r="C50" s="134" t="s">
        <v>20</v>
      </c>
      <c r="D50" s="3">
        <f>ROUND('Lei 1.218.2024'!D50*1.0462,2)</f>
        <v>14921.24</v>
      </c>
      <c r="E50" s="3">
        <f>ROUND('Lei 1.218.2024'!E50*1.0462,2)</f>
        <v>7594.61</v>
      </c>
      <c r="F50" s="3">
        <f>ROUND('Lei 1.218.2024'!F50*1.0462,2)</f>
        <v>4836.58</v>
      </c>
      <c r="G50" s="3">
        <f>ROUND('Lei 1.218.2024'!G50*1.0462,2)</f>
        <v>17159.419999999998</v>
      </c>
      <c r="H50" s="3">
        <f>ROUND('Lei 1.218.2024'!H50*1.0462,2)</f>
        <v>8733.83</v>
      </c>
      <c r="I50" s="3">
        <f>ROUND('Lei 1.218.2024'!I50*1.0462,2)</f>
        <v>19733.32</v>
      </c>
    </row>
    <row r="52" spans="2:9" x14ac:dyDescent="0.25">
      <c r="B52" s="205" t="s">
        <v>23</v>
      </c>
      <c r="C52" s="205"/>
      <c r="D52" s="205"/>
      <c r="E52" s="205"/>
      <c r="F52" s="205"/>
      <c r="G52" s="205"/>
      <c r="H52" s="205"/>
      <c r="I52" s="205"/>
    </row>
    <row r="54" spans="2:9" x14ac:dyDescent="0.25">
      <c r="B54" s="204" t="s">
        <v>3</v>
      </c>
      <c r="C54" s="204"/>
      <c r="D54" s="204"/>
      <c r="E54" s="204"/>
      <c r="F54" s="204"/>
      <c r="G54" s="204"/>
      <c r="H54" s="204"/>
      <c r="I54" s="204"/>
    </row>
    <row r="55" spans="2:9" x14ac:dyDescent="0.25">
      <c r="B55" s="183" t="s">
        <v>4</v>
      </c>
      <c r="C55" s="183"/>
      <c r="D55" s="2" t="s">
        <v>5</v>
      </c>
      <c r="E55" s="2"/>
      <c r="F55" s="183" t="s">
        <v>6</v>
      </c>
      <c r="G55" s="183"/>
      <c r="H55" s="204" t="s">
        <v>7</v>
      </c>
      <c r="I55" s="204"/>
    </row>
    <row r="56" spans="2:9" ht="60" x14ac:dyDescent="0.25">
      <c r="B56" s="183"/>
      <c r="C56" s="183"/>
      <c r="D56" s="129" t="s">
        <v>24</v>
      </c>
      <c r="E56" s="130" t="s">
        <v>25</v>
      </c>
      <c r="F56" s="129" t="s">
        <v>24</v>
      </c>
      <c r="G56" s="130" t="s">
        <v>25</v>
      </c>
      <c r="H56" s="129" t="s">
        <v>24</v>
      </c>
      <c r="I56" s="130" t="s">
        <v>25</v>
      </c>
    </row>
    <row r="57" spans="2:9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</row>
    <row r="58" spans="2:9" x14ac:dyDescent="0.25">
      <c r="B58" s="181" t="s">
        <v>14</v>
      </c>
      <c r="C58" s="134" t="s">
        <v>15</v>
      </c>
      <c r="D58" s="3">
        <f>ROUND('Lei 1.218.2024'!D58*1.0462,2)</f>
        <v>8686.9500000000007</v>
      </c>
      <c r="E58" s="3">
        <f>ROUND('Lei 1.218.2024'!E58*1.0462,2)</f>
        <v>8686.9500000000007</v>
      </c>
      <c r="F58" s="3"/>
      <c r="G58" s="3"/>
      <c r="H58" s="3"/>
      <c r="I58" s="2"/>
    </row>
    <row r="59" spans="2:9" x14ac:dyDescent="0.25">
      <c r="B59" s="181"/>
      <c r="C59" s="134" t="s">
        <v>16</v>
      </c>
      <c r="D59" s="3">
        <f>ROUND('Lei 1.218.2024'!D59*1.0462,2)</f>
        <v>8947.56</v>
      </c>
      <c r="E59" s="3">
        <f>ROUND('Lei 1.218.2024'!E59*1.0462,2)</f>
        <v>8947.56</v>
      </c>
      <c r="F59" s="3"/>
      <c r="G59" s="3"/>
      <c r="H59" s="3"/>
      <c r="I59" s="2"/>
    </row>
    <row r="60" spans="2:9" x14ac:dyDescent="0.25">
      <c r="B60" s="181"/>
      <c r="C60" s="134" t="s">
        <v>17</v>
      </c>
      <c r="D60" s="3">
        <f>ROUND('Lei 1.218.2024'!D60*1.0462,2)</f>
        <v>9215.99</v>
      </c>
      <c r="E60" s="3">
        <f>ROUND('Lei 1.218.2024'!E60*1.0462,2)</f>
        <v>9215.99</v>
      </c>
      <c r="F60" s="3"/>
      <c r="G60" s="3"/>
      <c r="H60" s="3"/>
      <c r="I60" s="2"/>
    </row>
    <row r="61" spans="2:9" x14ac:dyDescent="0.25">
      <c r="B61" s="181"/>
      <c r="C61" s="134" t="s">
        <v>18</v>
      </c>
      <c r="D61" s="3">
        <f>ROUND('Lei 1.218.2024'!D61*1.0462,2)</f>
        <v>9492.4699999999993</v>
      </c>
      <c r="E61" s="3">
        <f>ROUND('Lei 1.218.2024'!E61*1.0462,2)</f>
        <v>9492.4699999999993</v>
      </c>
      <c r="F61" s="3">
        <f>ROUND('Lei 1.218.2024'!F61*1.0462,2)</f>
        <v>10916.32</v>
      </c>
      <c r="G61" s="3">
        <f>ROUND('Lei 1.218.2024'!G61*1.0462,2)</f>
        <v>10916.32</v>
      </c>
      <c r="H61" s="3"/>
      <c r="I61" s="2"/>
    </row>
    <row r="62" spans="2:9" x14ac:dyDescent="0.25">
      <c r="B62" s="181"/>
      <c r="C62" s="134" t="s">
        <v>19</v>
      </c>
      <c r="D62" s="3">
        <f>ROUND('Lei 1.218.2024'!D62*1.0462,2)</f>
        <v>9777.24</v>
      </c>
      <c r="E62" s="3">
        <f>ROUND('Lei 1.218.2024'!E62*1.0462,2)</f>
        <v>9777.24</v>
      </c>
      <c r="F62" s="3">
        <f>ROUND('Lei 1.218.2024'!F62*1.0462,2)</f>
        <v>11243.83</v>
      </c>
      <c r="G62" s="3">
        <f>ROUND('Lei 1.218.2024'!G62*1.0462,2)</f>
        <v>11243.83</v>
      </c>
      <c r="H62" s="3"/>
      <c r="I62" s="2"/>
    </row>
    <row r="63" spans="2:9" x14ac:dyDescent="0.25">
      <c r="B63" s="181"/>
      <c r="C63" s="134" t="s">
        <v>20</v>
      </c>
      <c r="D63" s="3">
        <f>ROUND('Lei 1.218.2024'!D63*1.0462,2)</f>
        <v>10070.549999999999</v>
      </c>
      <c r="E63" s="3">
        <f>ROUND('Lei 1.218.2024'!E63*1.0462,2)</f>
        <v>10070.549999999999</v>
      </c>
      <c r="F63" s="3">
        <f>ROUND('Lei 1.218.2024'!F63*1.0462,2)</f>
        <v>11581.14</v>
      </c>
      <c r="G63" s="3">
        <f>ROUND('Lei 1.218.2024'!G63*1.0462,2)</f>
        <v>11581.14</v>
      </c>
      <c r="H63" s="2"/>
      <c r="I63" s="2"/>
    </row>
    <row r="64" spans="2:9" x14ac:dyDescent="0.25">
      <c r="B64" s="179" t="s">
        <v>21</v>
      </c>
      <c r="C64" s="134" t="s">
        <v>15</v>
      </c>
      <c r="D64" s="3">
        <f>ROUND('Lei 1.218.2024'!D64*1.0462,2)</f>
        <v>10574.09</v>
      </c>
      <c r="E64" s="3">
        <f>ROUND('Lei 1.218.2024'!E64*1.0462,2)</f>
        <v>10574.09</v>
      </c>
      <c r="F64" s="3">
        <f>ROUND('Lei 1.218.2024'!F64*1.0462,2)</f>
        <v>12160.2</v>
      </c>
      <c r="G64" s="3">
        <f>ROUND('Lei 1.218.2024'!G64*1.0462,2)</f>
        <v>12160.2</v>
      </c>
      <c r="H64" s="2"/>
      <c r="I64" s="2"/>
    </row>
    <row r="65" spans="2:9" x14ac:dyDescent="0.25">
      <c r="B65" s="179"/>
      <c r="C65" s="134" t="s">
        <v>16</v>
      </c>
      <c r="D65" s="3">
        <f>ROUND('Lei 1.218.2024'!D65*1.0462,2)</f>
        <v>10891.32</v>
      </c>
      <c r="E65" s="3">
        <f>ROUND('Lei 1.218.2024'!E65*1.0462,2)</f>
        <v>10891.32</v>
      </c>
      <c r="F65" s="3">
        <f>ROUND('Lei 1.218.2024'!F65*1.0462,2)</f>
        <v>12525.01</v>
      </c>
      <c r="G65" s="3">
        <f>ROUND('Lei 1.218.2024'!G65*1.0462,2)</f>
        <v>12525.01</v>
      </c>
      <c r="H65" s="2"/>
      <c r="I65" s="2"/>
    </row>
    <row r="66" spans="2:9" x14ac:dyDescent="0.25">
      <c r="B66" s="179"/>
      <c r="C66" s="134" t="s">
        <v>17</v>
      </c>
      <c r="D66" s="3">
        <f>ROUND('Lei 1.218.2024'!D66*1.0462,2)</f>
        <v>11218.06</v>
      </c>
      <c r="E66" s="3">
        <f>ROUND('Lei 1.218.2024'!E66*1.0462,2)</f>
        <v>11218.06</v>
      </c>
      <c r="F66" s="3">
        <f>ROUND('Lei 1.218.2024'!F66*1.0462,2)</f>
        <v>12900.77</v>
      </c>
      <c r="G66" s="3">
        <f>ROUND('Lei 1.218.2024'!G66*1.0462,2)</f>
        <v>12900.77</v>
      </c>
      <c r="H66" s="2"/>
      <c r="I66" s="2"/>
    </row>
    <row r="67" spans="2:9" x14ac:dyDescent="0.25">
      <c r="B67" s="179"/>
      <c r="C67" s="134" t="s">
        <v>18</v>
      </c>
      <c r="D67" s="3">
        <f>ROUND('Lei 1.218.2024'!D67*1.0462,2)</f>
        <v>11554.6</v>
      </c>
      <c r="E67" s="3">
        <f>ROUND('Lei 1.218.2024'!E67*1.0462,2)</f>
        <v>11554.6</v>
      </c>
      <c r="F67" s="3">
        <f>ROUND('Lei 1.218.2024'!F67*1.0462,2)</f>
        <v>13287.79</v>
      </c>
      <c r="G67" s="3">
        <f>ROUND('Lei 1.218.2024'!G67*1.0462,2)</f>
        <v>13287.79</v>
      </c>
      <c r="H67" s="3">
        <f>ROUND('Lei 1.218.2024'!H67*1.0462,2)</f>
        <v>15280.95</v>
      </c>
      <c r="I67" s="3">
        <f>ROUND('Lei 1.218.2024'!I67*1.0462,2)</f>
        <v>15280.95</v>
      </c>
    </row>
    <row r="68" spans="2:9" x14ac:dyDescent="0.25">
      <c r="B68" s="179"/>
      <c r="C68" s="134" t="s">
        <v>19</v>
      </c>
      <c r="D68" s="3">
        <f>ROUND('Lei 1.218.2024'!D68*1.0462,2)</f>
        <v>11901.24</v>
      </c>
      <c r="E68" s="3">
        <f>ROUND('Lei 1.218.2024'!E68*1.0462,2)</f>
        <v>11901.24</v>
      </c>
      <c r="F68" s="3">
        <f>ROUND('Lei 1.218.2024'!F68*1.0462,2)</f>
        <v>13686.43</v>
      </c>
      <c r="G68" s="3">
        <f>ROUND('Lei 1.218.2024'!G68*1.0462,2)</f>
        <v>13686.43</v>
      </c>
      <c r="H68" s="3">
        <f>ROUND('Lei 1.218.2024'!H68*1.0462,2)</f>
        <v>15739.38</v>
      </c>
      <c r="I68" s="3">
        <f>ROUND('Lei 1.218.2024'!I68*1.0462,2)</f>
        <v>15739.38</v>
      </c>
    </row>
    <row r="69" spans="2:9" x14ac:dyDescent="0.25">
      <c r="B69" s="179"/>
      <c r="C69" s="134" t="s">
        <v>20</v>
      </c>
      <c r="D69" s="3">
        <f>ROUND('Lei 1.218.2024'!D69*1.0462,2)</f>
        <v>12258.27</v>
      </c>
      <c r="E69" s="3">
        <f>ROUND('Lei 1.218.2024'!E69*1.0462,2)</f>
        <v>12258.27</v>
      </c>
      <c r="F69" s="3">
        <f>ROUND('Lei 1.218.2024'!F69*1.0462,2)</f>
        <v>14097.02</v>
      </c>
      <c r="G69" s="3">
        <f>ROUND('Lei 1.218.2024'!G69*1.0462,2)</f>
        <v>14097.02</v>
      </c>
      <c r="H69" s="3">
        <f>ROUND('Lei 1.218.2024'!H69*1.0462,2)</f>
        <v>16211.57</v>
      </c>
      <c r="I69" s="3">
        <f>ROUND('Lei 1.218.2024'!I69*1.0462,2)</f>
        <v>16211.57</v>
      </c>
    </row>
    <row r="70" spans="2:9" x14ac:dyDescent="0.25">
      <c r="B70" s="179" t="s">
        <v>22</v>
      </c>
      <c r="C70" s="134" t="s">
        <v>15</v>
      </c>
      <c r="D70" s="3">
        <f>ROUND('Lei 1.218.2024'!D70*1.0462,2)</f>
        <v>12871.19</v>
      </c>
      <c r="E70" s="3">
        <f>ROUND('Lei 1.218.2024'!E70*1.0462,2)</f>
        <v>12871.19</v>
      </c>
      <c r="F70" s="3">
        <f>ROUND('Lei 1.218.2024'!F70*1.0462,2)</f>
        <v>14801.88</v>
      </c>
      <c r="G70" s="3">
        <f>ROUND('Lei 1.218.2024'!G70*1.0462,2)</f>
        <v>14801.88</v>
      </c>
      <c r="H70" s="3">
        <f>ROUND('Lei 1.218.2024'!H70*1.0462,2)</f>
        <v>17022.14</v>
      </c>
      <c r="I70" s="3">
        <f>ROUND('Lei 1.218.2024'!I70*1.0462,2)</f>
        <v>17022.14</v>
      </c>
    </row>
    <row r="71" spans="2:9" x14ac:dyDescent="0.25">
      <c r="B71" s="179"/>
      <c r="C71" s="134" t="s">
        <v>16</v>
      </c>
      <c r="D71" s="3">
        <f>ROUND('Lei 1.218.2024'!D71*1.0462,2)</f>
        <v>13257.32</v>
      </c>
      <c r="E71" s="3">
        <f>ROUND('Lei 1.218.2024'!E71*1.0462,2)</f>
        <v>13257.32</v>
      </c>
      <c r="F71" s="3">
        <f>ROUND('Lei 1.218.2024'!F71*1.0462,2)</f>
        <v>15245.93</v>
      </c>
      <c r="G71" s="3">
        <f>ROUND('Lei 1.218.2024'!G71*1.0462,2)</f>
        <v>15245.93</v>
      </c>
      <c r="H71" s="3">
        <f>ROUND('Lei 1.218.2024'!H71*1.0462,2)</f>
        <v>17532.810000000001</v>
      </c>
      <c r="I71" s="3">
        <f>ROUND('Lei 1.218.2024'!I71*1.0462,2)</f>
        <v>17532.810000000001</v>
      </c>
    </row>
    <row r="72" spans="2:9" x14ac:dyDescent="0.25">
      <c r="B72" s="179"/>
      <c r="C72" s="134" t="s">
        <v>17</v>
      </c>
      <c r="D72" s="3">
        <f>ROUND('Lei 1.218.2024'!D72*1.0462,2)</f>
        <v>13655.04</v>
      </c>
      <c r="E72" s="3">
        <f>ROUND('Lei 1.218.2024'!E72*1.0462,2)</f>
        <v>13655.04</v>
      </c>
      <c r="F72" s="3">
        <f>ROUND('Lei 1.218.2024'!F72*1.0462,2)</f>
        <v>15703.32</v>
      </c>
      <c r="G72" s="3">
        <f>ROUND('Lei 1.218.2024'!G72*1.0462,2)</f>
        <v>15703.32</v>
      </c>
      <c r="H72" s="3">
        <f>ROUND('Lei 1.218.2024'!H72*1.0462,2)</f>
        <v>18058.8</v>
      </c>
      <c r="I72" s="3">
        <f>ROUND('Lei 1.218.2024'!I72*1.0462,2)</f>
        <v>18058.8</v>
      </c>
    </row>
    <row r="73" spans="2:9" x14ac:dyDescent="0.25">
      <c r="B73" s="179"/>
      <c r="C73" s="134" t="s">
        <v>18</v>
      </c>
      <c r="D73" s="3">
        <f>ROUND('Lei 1.218.2024'!D73*1.0462,2)</f>
        <v>14064.7</v>
      </c>
      <c r="E73" s="3">
        <f>ROUND('Lei 1.218.2024'!E73*1.0462,2)</f>
        <v>14064.7</v>
      </c>
      <c r="F73" s="3">
        <f>ROUND('Lei 1.218.2024'!F73*1.0462,2)</f>
        <v>16174.41</v>
      </c>
      <c r="G73" s="3">
        <f>ROUND('Lei 1.218.2024'!G73*1.0462,2)</f>
        <v>16174.41</v>
      </c>
      <c r="H73" s="3">
        <f>ROUND('Lei 1.218.2024'!H73*1.0462,2)</f>
        <v>18600.57</v>
      </c>
      <c r="I73" s="3">
        <f>ROUND('Lei 1.218.2024'!I73*1.0462,2)</f>
        <v>18600.57</v>
      </c>
    </row>
    <row r="74" spans="2:9" x14ac:dyDescent="0.25">
      <c r="B74" s="179"/>
      <c r="C74" s="134" t="s">
        <v>19</v>
      </c>
      <c r="D74" s="3">
        <f>ROUND('Lei 1.218.2024'!D74*1.0462,2)</f>
        <v>14486.64</v>
      </c>
      <c r="E74" s="3">
        <f>ROUND('Lei 1.218.2024'!E74*1.0462,2)</f>
        <v>14486.64</v>
      </c>
      <c r="F74" s="3">
        <f>ROUND('Lei 1.218.2024'!F74*1.0462,2)</f>
        <v>16659.63</v>
      </c>
      <c r="G74" s="3">
        <f>ROUND('Lei 1.218.2024'!G74*1.0462,2)</f>
        <v>16659.63</v>
      </c>
      <c r="H74" s="3">
        <f>ROUND('Lei 1.218.2024'!H74*1.0462,2)</f>
        <v>19158.580000000002</v>
      </c>
      <c r="I74" s="3">
        <f>ROUND('Lei 1.218.2024'!I74*1.0462,2)</f>
        <v>19158.580000000002</v>
      </c>
    </row>
    <row r="75" spans="2:9" x14ac:dyDescent="0.25">
      <c r="B75" s="179"/>
      <c r="C75" s="134" t="s">
        <v>20</v>
      </c>
      <c r="D75" s="3">
        <f>ROUND('Lei 1.218.2024'!D75*1.0462,2)</f>
        <v>14921.24</v>
      </c>
      <c r="E75" s="3">
        <f>ROUND('Lei 1.218.2024'!E75*1.0462,2)</f>
        <v>14921.24</v>
      </c>
      <c r="F75" s="3">
        <f>ROUND('Lei 1.218.2024'!F75*1.0462,2)</f>
        <v>17159.419999999998</v>
      </c>
      <c r="G75" s="3">
        <f>ROUND('Lei 1.218.2024'!G75*1.0462,2)</f>
        <v>17159.419999999998</v>
      </c>
      <c r="H75" s="3">
        <f>ROUND('Lei 1.218.2024'!H75*1.0462,2)</f>
        <v>19733.32</v>
      </c>
      <c r="I75" s="3">
        <f>ROUND('Lei 1.218.2024'!I75*1.0462,2)</f>
        <v>19733.32</v>
      </c>
    </row>
    <row r="77" spans="2:9" x14ac:dyDescent="0.25">
      <c r="B77" s="205" t="s">
        <v>26</v>
      </c>
      <c r="C77" s="205"/>
      <c r="D77" s="205"/>
      <c r="E77" s="205"/>
      <c r="F77" s="205"/>
      <c r="G77" s="205"/>
      <c r="H77" s="205"/>
      <c r="I77" s="205"/>
    </row>
    <row r="79" spans="2:9" x14ac:dyDescent="0.25">
      <c r="B79" s="204" t="s">
        <v>3</v>
      </c>
      <c r="C79" s="204"/>
      <c r="D79" s="204"/>
      <c r="E79" s="204"/>
      <c r="F79" s="204"/>
      <c r="G79" s="204"/>
    </row>
    <row r="80" spans="2:9" ht="45" customHeight="1" x14ac:dyDescent="0.25">
      <c r="B80" s="206" t="s">
        <v>4</v>
      </c>
      <c r="C80" s="207"/>
      <c r="D80" s="2" t="s">
        <v>5</v>
      </c>
      <c r="E80" s="2"/>
      <c r="F80" s="183" t="s">
        <v>6</v>
      </c>
      <c r="G80" s="183"/>
    </row>
    <row r="81" spans="2:7" ht="30" x14ac:dyDescent="0.25">
      <c r="B81" s="208"/>
      <c r="C81" s="209"/>
      <c r="D81" s="129" t="s">
        <v>27</v>
      </c>
      <c r="E81" s="130" t="s">
        <v>28</v>
      </c>
      <c r="F81" s="129" t="s">
        <v>27</v>
      </c>
      <c r="G81" s="130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1" t="s">
        <v>14</v>
      </c>
      <c r="C83" s="136" t="s">
        <v>15</v>
      </c>
      <c r="D83" s="3">
        <f>ROUND('Lei 1.218.2024'!D83*1.0462,2)</f>
        <v>4878.32</v>
      </c>
      <c r="E83" s="3">
        <f>ROUND('Lei 1.218.2024'!E83*1.0462,2)</f>
        <v>4421.5</v>
      </c>
      <c r="F83" s="62"/>
      <c r="G83" s="2"/>
    </row>
    <row r="84" spans="2:7" x14ac:dyDescent="0.25">
      <c r="B84" s="181"/>
      <c r="C84" s="63" t="s">
        <v>16</v>
      </c>
      <c r="D84" s="3">
        <f>ROUND('Lei 1.218.2024'!D84*1.0462,2)</f>
        <v>5024.66</v>
      </c>
      <c r="E84" s="3">
        <f>ROUND('Lei 1.218.2024'!E84*1.0462,2)</f>
        <v>4554.1400000000003</v>
      </c>
      <c r="F84" s="62"/>
      <c r="G84" s="2"/>
    </row>
    <row r="85" spans="2:7" x14ac:dyDescent="0.25">
      <c r="B85" s="181"/>
      <c r="C85" s="63" t="s">
        <v>17</v>
      </c>
      <c r="D85" s="3">
        <f>ROUND('Lei 1.218.2024'!D85*1.0462,2)</f>
        <v>5175.3999999999996</v>
      </c>
      <c r="E85" s="3">
        <f>ROUND('Lei 1.218.2024'!E85*1.0462,2)</f>
        <v>4690.76</v>
      </c>
      <c r="F85" s="62"/>
      <c r="G85" s="2"/>
    </row>
    <row r="86" spans="2:7" x14ac:dyDescent="0.25">
      <c r="B86" s="181"/>
      <c r="C86" s="63" t="s">
        <v>18</v>
      </c>
      <c r="D86" s="3">
        <f>ROUND('Lei 1.218.2024'!D86*1.0462,2)</f>
        <v>5330.66</v>
      </c>
      <c r="E86" s="3">
        <f>ROUND('Lei 1.218.2024'!E86*1.0462,2)</f>
        <v>4831.49</v>
      </c>
      <c r="F86" s="3">
        <f>ROUND('Lei 1.218.2024'!F86*1.0462,2)</f>
        <v>6130.26</v>
      </c>
      <c r="G86" s="3">
        <f>ROUND('Lei 1.218.2024'!G86*1.0462,2)</f>
        <v>5556.2</v>
      </c>
    </row>
    <row r="87" spans="2:7" x14ac:dyDescent="0.25">
      <c r="B87" s="181"/>
      <c r="C87" s="63" t="s">
        <v>19</v>
      </c>
      <c r="D87" s="3">
        <f>ROUND('Lei 1.218.2024'!D87*1.0462,2)</f>
        <v>5490.58</v>
      </c>
      <c r="E87" s="3">
        <f>ROUND('Lei 1.218.2024'!E87*1.0462,2)</f>
        <v>4976.43</v>
      </c>
      <c r="F87" s="3">
        <f>ROUND('Lei 1.218.2024'!F87*1.0462,2)</f>
        <v>6314.16</v>
      </c>
      <c r="G87" s="3">
        <f>ROUND('Lei 1.218.2024'!G87*1.0462,2)</f>
        <v>5722.89</v>
      </c>
    </row>
    <row r="88" spans="2:7" x14ac:dyDescent="0.25">
      <c r="B88" s="181"/>
      <c r="C88" s="63" t="s">
        <v>20</v>
      </c>
      <c r="D88" s="3">
        <f>ROUND('Lei 1.218.2024'!D88*1.0462,2)</f>
        <v>5655.3</v>
      </c>
      <c r="E88" s="3">
        <f>ROUND('Lei 1.218.2024'!E88*1.0462,2)</f>
        <v>5125.7299999999996</v>
      </c>
      <c r="F88" s="3">
        <f>ROUND('Lei 1.218.2024'!F88*1.0462,2)</f>
        <v>6503.59</v>
      </c>
      <c r="G88" s="3">
        <f>ROUND('Lei 1.218.2024'!G88*1.0462,2)</f>
        <v>5894.58</v>
      </c>
    </row>
    <row r="89" spans="2:7" x14ac:dyDescent="0.25">
      <c r="B89" s="179" t="s">
        <v>21</v>
      </c>
      <c r="C89" s="63" t="s">
        <v>15</v>
      </c>
      <c r="D89" s="3">
        <f>ROUND('Lei 1.218.2024'!D89*1.0462,2)</f>
        <v>5938.05</v>
      </c>
      <c r="E89" s="3">
        <f>ROUND('Lei 1.218.2024'!E89*1.0462,2)</f>
        <v>5382.01</v>
      </c>
      <c r="F89" s="3">
        <f>ROUND('Lei 1.218.2024'!F89*1.0462,2)</f>
        <v>6828.77</v>
      </c>
      <c r="G89" s="3">
        <f>ROUND('Lei 1.218.2024'!G89*1.0462,2)</f>
        <v>6189.31</v>
      </c>
    </row>
    <row r="90" spans="2:7" x14ac:dyDescent="0.25">
      <c r="B90" s="179"/>
      <c r="C90" s="63" t="s">
        <v>16</v>
      </c>
      <c r="D90" s="3">
        <f>ROUND('Lei 1.218.2024'!D90*1.0462,2)</f>
        <v>6116.2</v>
      </c>
      <c r="E90" s="3">
        <f>ROUND('Lei 1.218.2024'!E90*1.0462,2)</f>
        <v>5543.47</v>
      </c>
      <c r="F90" s="3">
        <f>ROUND('Lei 1.218.2024'!F90*1.0462,2)</f>
        <v>7033.63</v>
      </c>
      <c r="G90" s="3">
        <f>ROUND('Lei 1.218.2024'!G90*1.0462,2)</f>
        <v>6374.99</v>
      </c>
    </row>
    <row r="91" spans="2:7" x14ac:dyDescent="0.25">
      <c r="B91" s="179"/>
      <c r="C91" s="63" t="s">
        <v>17</v>
      </c>
      <c r="D91" s="3">
        <f>ROUND('Lei 1.218.2024'!D91*1.0462,2)</f>
        <v>6299.69</v>
      </c>
      <c r="E91" s="3">
        <f>ROUND('Lei 1.218.2024'!E91*1.0462,2)</f>
        <v>5709.78</v>
      </c>
      <c r="F91" s="3">
        <f>ROUND('Lei 1.218.2024'!F91*1.0462,2)</f>
        <v>7244.65</v>
      </c>
      <c r="G91" s="3">
        <f>ROUND('Lei 1.218.2024'!G91*1.0462,2)</f>
        <v>6566.24</v>
      </c>
    </row>
    <row r="92" spans="2:7" x14ac:dyDescent="0.25">
      <c r="B92" s="179"/>
      <c r="C92" s="2" t="s">
        <v>18</v>
      </c>
      <c r="D92" s="3">
        <f>ROUND('Lei 1.218.2024'!D92*1.0462,2)</f>
        <v>6488.69</v>
      </c>
      <c r="E92" s="3">
        <f>ROUND('Lei 1.218.2024'!E92*1.0462,2)</f>
        <v>5881.07</v>
      </c>
      <c r="F92" s="3">
        <f>ROUND('Lei 1.218.2024'!F92*1.0462,2)</f>
        <v>7461.98</v>
      </c>
      <c r="G92" s="3">
        <f>ROUND('Lei 1.218.2024'!G92*1.0462,2)</f>
        <v>6763.23</v>
      </c>
    </row>
    <row r="93" spans="2:7" x14ac:dyDescent="0.25">
      <c r="B93" s="179"/>
      <c r="C93" s="2" t="s">
        <v>19</v>
      </c>
      <c r="D93" s="3">
        <f>ROUND('Lei 1.218.2024'!D93*1.0462,2)</f>
        <v>6683.35</v>
      </c>
      <c r="E93" s="3">
        <f>ROUND('Lei 1.218.2024'!E93*1.0462,2)</f>
        <v>6057.5</v>
      </c>
      <c r="F93" s="3">
        <f>ROUND('Lei 1.218.2024'!F93*1.0462,2)</f>
        <v>7685.85</v>
      </c>
      <c r="G93" s="3">
        <f>ROUND('Lei 1.218.2024'!G93*1.0462,2)</f>
        <v>6966.12</v>
      </c>
    </row>
    <row r="94" spans="2:7" x14ac:dyDescent="0.25">
      <c r="B94" s="179"/>
      <c r="C94" s="2" t="s">
        <v>20</v>
      </c>
      <c r="D94" s="3">
        <f>ROUND('Lei 1.218.2024'!D94*1.0462,2)</f>
        <v>6883.84</v>
      </c>
      <c r="E94" s="3">
        <f>ROUND('Lei 1.218.2024'!E94*1.0462,2)</f>
        <v>6239.22</v>
      </c>
      <c r="F94" s="3">
        <f>ROUND('Lei 1.218.2024'!F94*1.0462,2)</f>
        <v>7916.42</v>
      </c>
      <c r="G94" s="3">
        <f>ROUND('Lei 1.218.2024'!G94*1.0462,2)</f>
        <v>7175.11</v>
      </c>
    </row>
    <row r="95" spans="2:7" x14ac:dyDescent="0.25">
      <c r="B95" s="179" t="s">
        <v>22</v>
      </c>
      <c r="C95" s="2" t="s">
        <v>15</v>
      </c>
      <c r="D95" s="3">
        <f>ROUND('Lei 1.218.2024'!D95*1.0462,2)</f>
        <v>7228.03</v>
      </c>
      <c r="E95" s="3">
        <f>ROUND('Lei 1.218.2024'!E95*1.0462,2)</f>
        <v>6551.18</v>
      </c>
      <c r="F95" s="3">
        <f>ROUND('Lei 1.218.2024'!F95*1.0462,2)</f>
        <v>8312.24</v>
      </c>
      <c r="G95" s="3">
        <f>ROUND('Lei 1.218.2024'!G95*1.0462,2)</f>
        <v>7533.86</v>
      </c>
    </row>
    <row r="96" spans="2:7" x14ac:dyDescent="0.25">
      <c r="B96" s="179"/>
      <c r="C96" s="2" t="s">
        <v>16</v>
      </c>
      <c r="D96" s="3">
        <f>ROUND('Lei 1.218.2024'!D96*1.0462,2)</f>
        <v>7444.87</v>
      </c>
      <c r="E96" s="3">
        <f>ROUND('Lei 1.218.2024'!E96*1.0462,2)</f>
        <v>6747.73</v>
      </c>
      <c r="F96" s="3">
        <f>ROUND('Lei 1.218.2024'!F96*1.0462,2)</f>
        <v>8561.61</v>
      </c>
      <c r="G96" s="3">
        <f>ROUND('Lei 1.218.2024'!G96*1.0462,2)</f>
        <v>7759.9</v>
      </c>
    </row>
    <row r="97" spans="2:7" x14ac:dyDescent="0.25">
      <c r="B97" s="179"/>
      <c r="C97" s="2" t="s">
        <v>17</v>
      </c>
      <c r="D97" s="3">
        <f>ROUND('Lei 1.218.2024'!D97*1.0462,2)</f>
        <v>7668.22</v>
      </c>
      <c r="E97" s="3">
        <f>ROUND('Lei 1.218.2024'!E97*1.0462,2)</f>
        <v>6950.17</v>
      </c>
      <c r="F97" s="3">
        <f>ROUND('Lei 1.218.2024'!F97*1.0462,2)</f>
        <v>8818.4500000000007</v>
      </c>
      <c r="G97" s="3">
        <f>ROUND('Lei 1.218.2024'!G97*1.0462,2)</f>
        <v>7992.68</v>
      </c>
    </row>
    <row r="98" spans="2:7" x14ac:dyDescent="0.25">
      <c r="B98" s="179"/>
      <c r="C98" s="2" t="s">
        <v>18</v>
      </c>
      <c r="D98" s="3">
        <f>ROUND('Lei 1.218.2024'!D98*1.0462,2)</f>
        <v>7898.27</v>
      </c>
      <c r="E98" s="3">
        <f>ROUND('Lei 1.218.2024'!E98*1.0462,2)</f>
        <v>7158.68</v>
      </c>
      <c r="F98" s="3">
        <f>ROUND('Lei 1.218.2024'!F98*1.0462,2)</f>
        <v>9083.01</v>
      </c>
      <c r="G98" s="3">
        <f>ROUND('Lei 1.218.2024'!G98*1.0462,2)</f>
        <v>8232.4699999999993</v>
      </c>
    </row>
    <row r="99" spans="2:7" x14ac:dyDescent="0.25">
      <c r="B99" s="179"/>
      <c r="C99" s="2" t="s">
        <v>19</v>
      </c>
      <c r="D99" s="3">
        <f>ROUND('Lei 1.218.2024'!D99*1.0462,2)</f>
        <v>8135.22</v>
      </c>
      <c r="E99" s="3">
        <f>ROUND('Lei 1.218.2024'!E99*1.0462,2)</f>
        <v>7373.43</v>
      </c>
      <c r="F99" s="3">
        <f>ROUND('Lei 1.218.2024'!F99*1.0462,2)</f>
        <v>9355.5</v>
      </c>
      <c r="G99" s="3">
        <f>ROUND('Lei 1.218.2024'!G99*1.0462,2)</f>
        <v>8479.4500000000007</v>
      </c>
    </row>
    <row r="100" spans="2:7" x14ac:dyDescent="0.25">
      <c r="B100" s="179"/>
      <c r="C100" s="2" t="s">
        <v>20</v>
      </c>
      <c r="D100" s="3">
        <f>ROUND('Lei 1.218.2024'!D100*1.0462,2)</f>
        <v>8379.27</v>
      </c>
      <c r="E100" s="3">
        <f>ROUND('Lei 1.218.2024'!E100*1.0462,2)</f>
        <v>7594.63</v>
      </c>
      <c r="F100" s="3">
        <f>ROUND('Lei 1.218.2024'!F100*1.0462,2)</f>
        <v>9636.17</v>
      </c>
      <c r="G100" s="3">
        <f>ROUND('Lei 1.218.2024'!G100*1.0462,2)</f>
        <v>8733.83</v>
      </c>
    </row>
    <row r="103" spans="2:7" ht="26.25" customHeight="1" x14ac:dyDescent="0.25">
      <c r="B103" s="203" t="s">
        <v>648</v>
      </c>
      <c r="C103" s="203"/>
      <c r="D103" s="203"/>
      <c r="E103" s="203"/>
      <c r="F103" s="203"/>
      <c r="G103" s="203"/>
    </row>
    <row r="105" spans="2:7" x14ac:dyDescent="0.25">
      <c r="B105" s="204" t="s">
        <v>3</v>
      </c>
      <c r="C105" s="204"/>
      <c r="D105" s="204"/>
      <c r="E105" s="204"/>
      <c r="F105" s="204"/>
    </row>
    <row r="106" spans="2:7" x14ac:dyDescent="0.25">
      <c r="B106" s="183" t="s">
        <v>4</v>
      </c>
      <c r="C106" s="183"/>
      <c r="D106" s="204" t="s">
        <v>5</v>
      </c>
      <c r="E106" s="204"/>
      <c r="F106" s="204"/>
    </row>
    <row r="107" spans="2:7" ht="30" x14ac:dyDescent="0.25">
      <c r="B107" s="183"/>
      <c r="C107" s="183"/>
      <c r="D107" s="131" t="s">
        <v>128</v>
      </c>
      <c r="E107" s="129" t="s">
        <v>32</v>
      </c>
      <c r="F107" s="131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1" t="s">
        <v>14</v>
      </c>
      <c r="C109" s="2" t="s">
        <v>15</v>
      </c>
      <c r="D109" s="3">
        <f>ROUND('Lei 1.218.2024'!D109*1.0462,2)</f>
        <v>3324.51</v>
      </c>
      <c r="E109" s="3">
        <f>ROUND('Lei 1.218.2024'!E109*1.0462,2)</f>
        <v>2815.81</v>
      </c>
      <c r="F109" s="3">
        <f>ROUND('Lei 1.218.2024'!F109*1.0462,2)</f>
        <v>2815.81</v>
      </c>
    </row>
    <row r="110" spans="2:7" x14ac:dyDescent="0.25">
      <c r="B110" s="181"/>
      <c r="C110" s="2" t="s">
        <v>16</v>
      </c>
      <c r="D110" s="3">
        <f>ROUND('Lei 1.218.2024'!D110*1.0462,2)</f>
        <v>3424.24</v>
      </c>
      <c r="E110" s="3">
        <f>ROUND('Lei 1.218.2024'!E110*1.0462,2)</f>
        <v>2900.28</v>
      </c>
      <c r="F110" s="3">
        <f>ROUND('Lei 1.218.2024'!F110*1.0462,2)</f>
        <v>2900.28</v>
      </c>
    </row>
    <row r="111" spans="2:7" x14ac:dyDescent="0.25">
      <c r="B111" s="181"/>
      <c r="C111" s="2" t="s">
        <v>17</v>
      </c>
      <c r="D111" s="3">
        <f>ROUND('Lei 1.218.2024'!D111*1.0462,2)</f>
        <v>3526.97</v>
      </c>
      <c r="E111" s="3">
        <f>ROUND('Lei 1.218.2024'!E111*1.0462,2)</f>
        <v>2987.28</v>
      </c>
      <c r="F111" s="3">
        <f>ROUND('Lei 1.218.2024'!F111*1.0462,2)</f>
        <v>2987.28</v>
      </c>
    </row>
    <row r="112" spans="2:7" x14ac:dyDescent="0.25">
      <c r="B112" s="181"/>
      <c r="C112" s="2" t="s">
        <v>18</v>
      </c>
      <c r="D112" s="3">
        <f>ROUND('Lei 1.218.2024'!D112*1.0462,2)</f>
        <v>3632.78</v>
      </c>
      <c r="E112" s="3">
        <f>ROUND('Lei 1.218.2024'!E112*1.0462,2)</f>
        <v>3076.9</v>
      </c>
      <c r="F112" s="3">
        <f>ROUND('Lei 1.218.2024'!F112*1.0462,2)</f>
        <v>3076.9</v>
      </c>
    </row>
    <row r="113" spans="2:6" x14ac:dyDescent="0.25">
      <c r="B113" s="181"/>
      <c r="C113" s="2" t="s">
        <v>19</v>
      </c>
      <c r="D113" s="3">
        <f>ROUND('Lei 1.218.2024'!D113*1.0462,2)</f>
        <v>3741.77</v>
      </c>
      <c r="E113" s="3">
        <f>ROUND('Lei 1.218.2024'!E113*1.0462,2)</f>
        <v>3169.21</v>
      </c>
      <c r="F113" s="3">
        <f>ROUND('Lei 1.218.2024'!F113*1.0462,2)</f>
        <v>3169.21</v>
      </c>
    </row>
    <row r="114" spans="2:6" x14ac:dyDescent="0.25">
      <c r="B114" s="181"/>
      <c r="C114" s="2" t="s">
        <v>20</v>
      </c>
      <c r="D114" s="3">
        <f>ROUND('Lei 1.218.2024'!D114*1.0462,2)</f>
        <v>3854.01</v>
      </c>
      <c r="E114" s="3">
        <f>ROUND('Lei 1.218.2024'!E114*1.0462,2)</f>
        <v>3264.28</v>
      </c>
      <c r="F114" s="3">
        <f>ROUND('Lei 1.218.2024'!F114*1.0462,2)</f>
        <v>3264.28</v>
      </c>
    </row>
    <row r="115" spans="2:6" x14ac:dyDescent="0.25">
      <c r="B115" s="179" t="s">
        <v>21</v>
      </c>
      <c r="C115" s="2" t="s">
        <v>15</v>
      </c>
      <c r="D115" s="3">
        <f>ROUND('Lei 1.218.2024'!D115*1.0462,2)</f>
        <v>4046.72</v>
      </c>
      <c r="E115" s="3">
        <f>ROUND('Lei 1.218.2024'!E115*1.0462,2)</f>
        <v>3427.49</v>
      </c>
      <c r="F115" s="3">
        <f>ROUND('Lei 1.218.2024'!F115*1.0462,2)</f>
        <v>3427.49</v>
      </c>
    </row>
    <row r="116" spans="2:6" x14ac:dyDescent="0.25">
      <c r="B116" s="179"/>
      <c r="C116" s="2" t="s">
        <v>16</v>
      </c>
      <c r="D116" s="3">
        <f>ROUND('Lei 1.218.2024'!D116*1.0462,2)</f>
        <v>4168.12</v>
      </c>
      <c r="E116" s="3">
        <f>ROUND('Lei 1.218.2024'!E116*1.0462,2)</f>
        <v>3530.32</v>
      </c>
      <c r="F116" s="3">
        <f>ROUND('Lei 1.218.2024'!F116*1.0462,2)</f>
        <v>3530.32</v>
      </c>
    </row>
    <row r="117" spans="2:6" x14ac:dyDescent="0.25">
      <c r="B117" s="179"/>
      <c r="C117" s="2" t="s">
        <v>17</v>
      </c>
      <c r="D117" s="3">
        <f>ROUND('Lei 1.218.2024'!D117*1.0462,2)</f>
        <v>4293.18</v>
      </c>
      <c r="E117" s="3">
        <f>ROUND('Lei 1.218.2024'!E117*1.0462,2)</f>
        <v>3636.21</v>
      </c>
      <c r="F117" s="3">
        <f>ROUND('Lei 1.218.2024'!F117*1.0462,2)</f>
        <v>3636.21</v>
      </c>
    </row>
    <row r="118" spans="2:6" x14ac:dyDescent="0.25">
      <c r="B118" s="179"/>
      <c r="C118" s="2" t="s">
        <v>18</v>
      </c>
      <c r="D118" s="3">
        <f>ROUND('Lei 1.218.2024'!D118*1.0462,2)</f>
        <v>4421.97</v>
      </c>
      <c r="E118" s="3">
        <f>ROUND('Lei 1.218.2024'!E118*1.0462,2)</f>
        <v>3745.3</v>
      </c>
      <c r="F118" s="3">
        <f>ROUND('Lei 1.218.2024'!F118*1.0462,2)</f>
        <v>3745.3</v>
      </c>
    </row>
    <row r="119" spans="2:6" x14ac:dyDescent="0.25">
      <c r="B119" s="179"/>
      <c r="C119" s="2" t="s">
        <v>19</v>
      </c>
      <c r="D119" s="3">
        <f>ROUND('Lei 1.218.2024'!D119*1.0462,2)</f>
        <v>4554.6400000000003</v>
      </c>
      <c r="E119" s="3">
        <f>ROUND('Lei 1.218.2024'!E119*1.0462,2)</f>
        <v>3857.66</v>
      </c>
      <c r="F119" s="3">
        <f>ROUND('Lei 1.218.2024'!F119*1.0462,2)</f>
        <v>3857.66</v>
      </c>
    </row>
    <row r="120" spans="2:6" x14ac:dyDescent="0.25">
      <c r="B120" s="179"/>
      <c r="C120" s="2" t="s">
        <v>20</v>
      </c>
      <c r="D120" s="3">
        <f>ROUND('Lei 1.218.2024'!D120*1.0462,2)</f>
        <v>4691.28</v>
      </c>
      <c r="E120" s="3">
        <f>ROUND('Lei 1.218.2024'!E120*1.0462,2)</f>
        <v>3973.39</v>
      </c>
      <c r="F120" s="3">
        <f>ROUND('Lei 1.218.2024'!F120*1.0462,2)</f>
        <v>3973.39</v>
      </c>
    </row>
    <row r="121" spans="2:6" x14ac:dyDescent="0.25">
      <c r="B121" s="179" t="s">
        <v>22</v>
      </c>
      <c r="C121" s="2" t="s">
        <v>15</v>
      </c>
      <c r="D121" s="3">
        <f>ROUND('Lei 1.218.2024'!D121*1.0462,2)</f>
        <v>4925.83</v>
      </c>
      <c r="E121" s="3">
        <f>ROUND('Lei 1.218.2024'!E121*1.0462,2)</f>
        <v>4172.07</v>
      </c>
      <c r="F121" s="3">
        <f>ROUND('Lei 1.218.2024'!F121*1.0462,2)</f>
        <v>4172.07</v>
      </c>
    </row>
    <row r="122" spans="2:6" x14ac:dyDescent="0.25">
      <c r="B122" s="179"/>
      <c r="C122" s="2" t="s">
        <v>16</v>
      </c>
      <c r="D122" s="3">
        <f>ROUND('Lei 1.218.2024'!D122*1.0462,2)</f>
        <v>5073.6099999999997</v>
      </c>
      <c r="E122" s="3">
        <f>ROUND('Lei 1.218.2024'!E122*1.0462,2)</f>
        <v>4297.22</v>
      </c>
      <c r="F122" s="3">
        <f>ROUND('Lei 1.218.2024'!F122*1.0462,2)</f>
        <v>4297.22</v>
      </c>
    </row>
    <row r="123" spans="2:6" x14ac:dyDescent="0.25">
      <c r="B123" s="179"/>
      <c r="C123" s="2" t="s">
        <v>17</v>
      </c>
      <c r="D123" s="3">
        <f>ROUND('Lei 1.218.2024'!D123*1.0462,2)</f>
        <v>5225.82</v>
      </c>
      <c r="E123" s="3">
        <f>ROUND('Lei 1.218.2024'!E123*1.0462,2)</f>
        <v>4426.1400000000003</v>
      </c>
      <c r="F123" s="3">
        <f>ROUND('Lei 1.218.2024'!F123*1.0462,2)</f>
        <v>4426.1400000000003</v>
      </c>
    </row>
    <row r="124" spans="2:6" x14ac:dyDescent="0.25">
      <c r="B124" s="179"/>
      <c r="C124" s="2" t="s">
        <v>18</v>
      </c>
      <c r="D124" s="3">
        <f>ROUND('Lei 1.218.2024'!D124*1.0462,2)</f>
        <v>5382.59</v>
      </c>
      <c r="E124" s="3">
        <f>ROUND('Lei 1.218.2024'!E124*1.0462,2)</f>
        <v>4558.92</v>
      </c>
      <c r="F124" s="3">
        <f>ROUND('Lei 1.218.2024'!F124*1.0462,2)</f>
        <v>4558.92</v>
      </c>
    </row>
    <row r="125" spans="2:6" x14ac:dyDescent="0.25">
      <c r="B125" s="179"/>
      <c r="C125" s="2" t="s">
        <v>19</v>
      </c>
      <c r="D125" s="3">
        <f>ROUND('Lei 1.218.2024'!D125*1.0462,2)</f>
        <v>5544.09</v>
      </c>
      <c r="E125" s="3">
        <f>ROUND('Lei 1.218.2024'!E125*1.0462,2)</f>
        <v>4695.7</v>
      </c>
      <c r="F125" s="3">
        <f>ROUND('Lei 1.218.2024'!F125*1.0462,2)</f>
        <v>4695.7</v>
      </c>
    </row>
    <row r="126" spans="2:6" x14ac:dyDescent="0.25">
      <c r="B126" s="179"/>
      <c r="C126" s="2" t="s">
        <v>20</v>
      </c>
      <c r="D126" s="3">
        <f>ROUND('Lei 1.218.2024'!D126*1.0462,2)</f>
        <v>5710.4</v>
      </c>
      <c r="E126" s="3">
        <f>ROUND('Lei 1.218.2024'!E126*1.0462,2)</f>
        <v>4836.58</v>
      </c>
      <c r="F126" s="3">
        <f>ROUND('Lei 1.218.2024'!F126*1.0462,2)</f>
        <v>4836.58</v>
      </c>
    </row>
    <row r="130" spans="2:19" ht="31.5" customHeight="1" x14ac:dyDescent="0.25">
      <c r="B130" s="202" t="s">
        <v>634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</row>
    <row r="132" spans="2:19" x14ac:dyDescent="0.25">
      <c r="B132" s="114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83" t="s">
        <v>125</v>
      </c>
      <c r="C134" s="183"/>
      <c r="D134" s="183" t="s">
        <v>630</v>
      </c>
      <c r="E134" s="183"/>
      <c r="F134" s="183"/>
      <c r="G134" s="183"/>
      <c r="H134" s="183" t="s">
        <v>631</v>
      </c>
      <c r="I134" s="179"/>
      <c r="J134" s="179"/>
      <c r="K134" s="179" t="s">
        <v>632</v>
      </c>
      <c r="L134" s="179"/>
      <c r="M134" s="179"/>
      <c r="N134" s="179"/>
    </row>
    <row r="135" spans="2:19" ht="90" customHeight="1" x14ac:dyDescent="0.25">
      <c r="B135" s="195" t="s">
        <v>50</v>
      </c>
      <c r="C135" s="195"/>
      <c r="D135" s="195" t="s">
        <v>51</v>
      </c>
      <c r="E135" s="195"/>
      <c r="F135" s="195"/>
      <c r="G135" s="195"/>
      <c r="H135" s="195" t="s">
        <v>52</v>
      </c>
      <c r="I135" s="195"/>
      <c r="J135" s="195"/>
      <c r="K135" s="195" t="s">
        <v>53</v>
      </c>
      <c r="L135" s="195"/>
      <c r="M135" s="195"/>
      <c r="N135" s="195"/>
      <c r="O135" s="22" t="s">
        <v>130</v>
      </c>
      <c r="P135" s="22" t="s">
        <v>131</v>
      </c>
      <c r="Q135" s="21" t="s">
        <v>132</v>
      </c>
      <c r="R135" s="107">
        <v>37589.96</v>
      </c>
      <c r="S135" s="55" t="s">
        <v>604</v>
      </c>
    </row>
    <row r="136" spans="2:19" ht="161.25" customHeight="1" x14ac:dyDescent="0.25">
      <c r="B136" s="195" t="s">
        <v>665</v>
      </c>
      <c r="C136" s="195"/>
      <c r="D136" s="195" t="s">
        <v>658</v>
      </c>
      <c r="E136" s="195"/>
      <c r="F136" s="195"/>
      <c r="G136" s="195"/>
      <c r="H136" s="195" t="s">
        <v>661</v>
      </c>
      <c r="I136" s="195"/>
      <c r="J136" s="195"/>
      <c r="K136" s="195" t="s">
        <v>654</v>
      </c>
      <c r="L136" s="195"/>
      <c r="M136" s="195"/>
      <c r="N136" s="195"/>
    </row>
    <row r="137" spans="2:19" ht="121.5" customHeight="1" x14ac:dyDescent="0.25">
      <c r="B137" s="195" t="s">
        <v>666</v>
      </c>
      <c r="C137" s="195"/>
      <c r="D137" s="195" t="s">
        <v>659</v>
      </c>
      <c r="E137" s="195"/>
      <c r="F137" s="195"/>
      <c r="G137" s="195"/>
      <c r="H137" s="247">
        <v>2450</v>
      </c>
      <c r="I137" s="248"/>
      <c r="J137" s="248"/>
      <c r="K137" s="195" t="s">
        <v>654</v>
      </c>
      <c r="L137" s="195"/>
      <c r="M137" s="195"/>
      <c r="N137" s="195"/>
    </row>
    <row r="138" spans="2:19" ht="162" customHeight="1" x14ac:dyDescent="0.25">
      <c r="B138" s="195" t="s">
        <v>667</v>
      </c>
      <c r="C138" s="195"/>
      <c r="D138" s="195" t="s">
        <v>660</v>
      </c>
      <c r="E138" s="195"/>
      <c r="F138" s="195"/>
      <c r="G138" s="195"/>
      <c r="H138" s="247">
        <v>27.5</v>
      </c>
      <c r="I138" s="248"/>
      <c r="J138" s="248"/>
      <c r="K138" s="195" t="s">
        <v>654</v>
      </c>
      <c r="L138" s="195"/>
      <c r="M138" s="195"/>
      <c r="N138" s="195"/>
    </row>
    <row r="139" spans="2:19" ht="90" customHeight="1" x14ac:dyDescent="0.25">
      <c r="B139" s="195" t="s">
        <v>656</v>
      </c>
      <c r="C139" s="195"/>
      <c r="D139" s="195" t="s">
        <v>66</v>
      </c>
      <c r="E139" s="195"/>
      <c r="F139" s="195"/>
      <c r="G139" s="195"/>
      <c r="H139" s="195" t="s">
        <v>67</v>
      </c>
      <c r="I139" s="195"/>
      <c r="J139" s="195"/>
      <c r="K139" s="195" t="s">
        <v>652</v>
      </c>
      <c r="L139" s="195"/>
      <c r="M139" s="195"/>
      <c r="N139" s="195"/>
    </row>
    <row r="140" spans="2:19" ht="90" customHeight="1" x14ac:dyDescent="0.25">
      <c r="B140" s="195" t="s">
        <v>69</v>
      </c>
      <c r="C140" s="195"/>
      <c r="D140" s="195" t="s">
        <v>70</v>
      </c>
      <c r="E140" s="195"/>
      <c r="F140" s="195"/>
      <c r="G140" s="195"/>
      <c r="H140" s="195" t="s">
        <v>67</v>
      </c>
      <c r="I140" s="195"/>
      <c r="J140" s="195"/>
      <c r="K140" s="195" t="s">
        <v>653</v>
      </c>
      <c r="L140" s="195"/>
      <c r="M140" s="195"/>
      <c r="N140" s="195"/>
    </row>
    <row r="141" spans="2:19" ht="90" customHeight="1" x14ac:dyDescent="0.25">
      <c r="B141" s="195" t="s">
        <v>71</v>
      </c>
      <c r="C141" s="195"/>
      <c r="D141" s="195" t="s">
        <v>72</v>
      </c>
      <c r="E141" s="195"/>
      <c r="F141" s="195"/>
      <c r="G141" s="195"/>
      <c r="H141" s="196" t="s">
        <v>686</v>
      </c>
      <c r="I141" s="196"/>
      <c r="J141" s="196"/>
      <c r="K141" s="195" t="s">
        <v>74</v>
      </c>
      <c r="L141" s="195"/>
      <c r="M141" s="195"/>
      <c r="N141" s="195"/>
    </row>
    <row r="142" spans="2:19" ht="90" customHeight="1" x14ac:dyDescent="0.25">
      <c r="B142" s="195" t="s">
        <v>75</v>
      </c>
      <c r="C142" s="195"/>
      <c r="D142" s="195" t="s">
        <v>76</v>
      </c>
      <c r="E142" s="195"/>
      <c r="F142" s="195"/>
      <c r="G142" s="195"/>
      <c r="H142" s="196" t="s">
        <v>686</v>
      </c>
      <c r="I142" s="196"/>
      <c r="J142" s="196"/>
      <c r="K142" s="195" t="s">
        <v>77</v>
      </c>
      <c r="L142" s="195"/>
      <c r="M142" s="195"/>
      <c r="N142" s="195"/>
    </row>
    <row r="143" spans="2:19" ht="90" customHeight="1" x14ac:dyDescent="0.25">
      <c r="B143" s="195" t="s">
        <v>78</v>
      </c>
      <c r="C143" s="195"/>
      <c r="D143" s="195" t="s">
        <v>79</v>
      </c>
      <c r="E143" s="195"/>
      <c r="F143" s="195"/>
      <c r="G143" s="195"/>
      <c r="H143" s="247">
        <v>1584.11</v>
      </c>
      <c r="I143" s="248"/>
      <c r="J143" s="248"/>
      <c r="K143" s="195" t="s">
        <v>653</v>
      </c>
      <c r="L143" s="195"/>
      <c r="M143" s="195"/>
      <c r="N143" s="195"/>
      <c r="O143" s="54"/>
    </row>
    <row r="144" spans="2:19" ht="90" customHeight="1" x14ac:dyDescent="0.25">
      <c r="B144" s="195" t="s">
        <v>81</v>
      </c>
      <c r="C144" s="195"/>
      <c r="D144" s="195" t="s">
        <v>82</v>
      </c>
      <c r="E144" s="195"/>
      <c r="F144" s="195"/>
      <c r="G144" s="195"/>
      <c r="H144" s="247">
        <v>1584.11</v>
      </c>
      <c r="I144" s="248"/>
      <c r="J144" s="248"/>
      <c r="K144" s="195" t="s">
        <v>653</v>
      </c>
      <c r="L144" s="195"/>
      <c r="M144" s="195"/>
      <c r="N144" s="195"/>
    </row>
    <row r="145" spans="2:14" ht="90" customHeight="1" x14ac:dyDescent="0.25">
      <c r="B145" s="195" t="s">
        <v>84</v>
      </c>
      <c r="C145" s="195"/>
      <c r="D145" s="195" t="s">
        <v>85</v>
      </c>
      <c r="E145" s="195"/>
      <c r="F145" s="195"/>
      <c r="G145" s="195"/>
      <c r="H145" s="196" t="s">
        <v>687</v>
      </c>
      <c r="I145" s="196"/>
      <c r="J145" s="196"/>
      <c r="K145" s="195" t="s">
        <v>653</v>
      </c>
      <c r="L145" s="195"/>
      <c r="M145" s="195"/>
      <c r="N145" s="195"/>
    </row>
    <row r="146" spans="2:14" ht="108" customHeight="1" x14ac:dyDescent="0.25">
      <c r="B146" s="195" t="s">
        <v>606</v>
      </c>
      <c r="C146" s="195"/>
      <c r="D146" s="195" t="s">
        <v>651</v>
      </c>
      <c r="E146" s="195"/>
      <c r="F146" s="195"/>
      <c r="G146" s="195"/>
      <c r="H146" s="196" t="s">
        <v>663</v>
      </c>
      <c r="I146" s="196"/>
      <c r="J146" s="196"/>
      <c r="K146" s="195" t="s">
        <v>654</v>
      </c>
      <c r="L146" s="195"/>
      <c r="M146" s="195"/>
      <c r="N146" s="195"/>
    </row>
    <row r="147" spans="2:14" ht="113.25" customHeight="1" x14ac:dyDescent="0.25">
      <c r="B147" s="195" t="s">
        <v>607</v>
      </c>
      <c r="C147" s="195"/>
      <c r="D147" s="195" t="s">
        <v>650</v>
      </c>
      <c r="E147" s="195"/>
      <c r="F147" s="195"/>
      <c r="G147" s="195"/>
      <c r="H147" s="196" t="s">
        <v>662</v>
      </c>
      <c r="I147" s="196"/>
      <c r="J147" s="196"/>
      <c r="K147" s="195" t="s">
        <v>654</v>
      </c>
      <c r="L147" s="195"/>
      <c r="M147" s="195"/>
      <c r="N147" s="195"/>
    </row>
    <row r="148" spans="2:14" ht="75.75" customHeight="1" x14ac:dyDescent="0.25">
      <c r="B148" s="195" t="s">
        <v>649</v>
      </c>
      <c r="C148" s="195"/>
      <c r="D148" s="195" t="s">
        <v>664</v>
      </c>
      <c r="E148" s="195"/>
      <c r="F148" s="195"/>
      <c r="G148" s="195"/>
      <c r="H148" s="197">
        <v>2092.4</v>
      </c>
      <c r="I148" s="198"/>
      <c r="J148" s="198"/>
      <c r="K148" s="195" t="s">
        <v>655</v>
      </c>
      <c r="L148" s="195"/>
      <c r="M148" s="195"/>
      <c r="N148" s="195"/>
    </row>
    <row r="153" spans="2:14" ht="21" x14ac:dyDescent="0.35">
      <c r="B153" s="178" t="s">
        <v>638</v>
      </c>
      <c r="C153" s="178"/>
      <c r="D153" s="178"/>
      <c r="E153" s="178"/>
      <c r="F153" s="178"/>
      <c r="G153" s="178"/>
      <c r="H153" s="178"/>
      <c r="I153" s="178"/>
    </row>
    <row r="155" spans="2:14" x14ac:dyDescent="0.25">
      <c r="B155" s="114" t="s">
        <v>635</v>
      </c>
    </row>
    <row r="157" spans="2:14" x14ac:dyDescent="0.25">
      <c r="B157" t="s">
        <v>637</v>
      </c>
    </row>
    <row r="159" spans="2:14" x14ac:dyDescent="0.25">
      <c r="B159" s="194" t="s">
        <v>643</v>
      </c>
      <c r="C159" s="194"/>
      <c r="D159" s="68" t="s">
        <v>995</v>
      </c>
      <c r="E159" s="68"/>
      <c r="F159" s="68"/>
      <c r="G159" s="69"/>
    </row>
    <row r="160" spans="2:14" x14ac:dyDescent="0.25">
      <c r="B160" s="194"/>
      <c r="C160" s="194"/>
      <c r="D160" s="115" t="s">
        <v>90</v>
      </c>
      <c r="E160" s="72" t="s">
        <v>91</v>
      </c>
      <c r="F160" s="72" t="s">
        <v>92</v>
      </c>
      <c r="G160" s="72" t="s">
        <v>93</v>
      </c>
    </row>
    <row r="161" spans="2:12" ht="18" customHeight="1" x14ac:dyDescent="0.25">
      <c r="B161" s="192" t="s">
        <v>94</v>
      </c>
      <c r="C161" s="192"/>
      <c r="D161" s="143">
        <f>SUM(E161:G161)</f>
        <v>4569.57</v>
      </c>
      <c r="E161" s="143">
        <f>ROUND('Lei 1.218.2024'!E161*1.0462,2)</f>
        <v>456.96</v>
      </c>
      <c r="F161" s="143">
        <f>ROUND('Lei 1.218.2024'!F161*1.0462,2)</f>
        <v>1370.87</v>
      </c>
      <c r="G161" s="145">
        <f>ROUND('Lei 1.218.2024'!G161*1.0462,2)</f>
        <v>2741.74</v>
      </c>
      <c r="I161" s="15"/>
      <c r="J161" s="15"/>
      <c r="K161" s="15"/>
      <c r="L161" s="56"/>
    </row>
    <row r="162" spans="2:12" ht="18" customHeight="1" x14ac:dyDescent="0.25">
      <c r="B162" s="192" t="s">
        <v>95</v>
      </c>
      <c r="C162" s="192"/>
      <c r="D162" s="143">
        <f t="shared" ref="D162:D168" si="0">SUM(E162:G162)</f>
        <v>4400.4799999999996</v>
      </c>
      <c r="E162" s="143">
        <f>ROUND('Lei 1.218.2024'!E162*1.0462,2)</f>
        <v>440.05</v>
      </c>
      <c r="F162" s="143">
        <f>ROUND('Lei 1.218.2024'!F162*1.0462,2)-0.01</f>
        <v>1320.14</v>
      </c>
      <c r="G162" s="145">
        <f>ROUND('Lei 1.218.2024'!G162*1.0462,2)</f>
        <v>2640.29</v>
      </c>
      <c r="I162" s="15"/>
      <c r="J162" s="15"/>
      <c r="K162" s="15"/>
      <c r="L162" s="56"/>
    </row>
    <row r="163" spans="2:12" ht="18" customHeight="1" x14ac:dyDescent="0.25">
      <c r="B163" s="192" t="s">
        <v>96</v>
      </c>
      <c r="C163" s="192"/>
      <c r="D163" s="143">
        <f t="shared" si="0"/>
        <v>2369.3199999999997</v>
      </c>
      <c r="E163" s="143">
        <f>ROUND('Lei 1.218.2024'!E163*1.0462,2)</f>
        <v>236.93</v>
      </c>
      <c r="F163" s="143">
        <f>ROUND('Lei 1.218.2024'!F163*1.0462,2)</f>
        <v>710.8</v>
      </c>
      <c r="G163" s="145">
        <f>ROUND('Lei 1.218.2024'!G163*1.0462,2)-0.01</f>
        <v>1421.59</v>
      </c>
      <c r="I163" s="15"/>
      <c r="J163" s="15"/>
      <c r="K163" s="15"/>
      <c r="L163" s="56"/>
    </row>
    <row r="164" spans="2:12" ht="18" customHeight="1" x14ac:dyDescent="0.25">
      <c r="B164" s="192" t="s">
        <v>97</v>
      </c>
      <c r="C164" s="192"/>
      <c r="D164" s="143">
        <f t="shared" si="0"/>
        <v>3723.2699999999995</v>
      </c>
      <c r="E164" s="143">
        <f>ROUND('Lei 1.218.2024'!E164*1.0462,2)</f>
        <v>372.33</v>
      </c>
      <c r="F164" s="143">
        <f>ROUND('Lei 1.218.2024'!F164*1.0462,2)-0.01</f>
        <v>1116.98</v>
      </c>
      <c r="G164" s="145">
        <f>ROUND('Lei 1.218.2024'!G164*1.0462,2)-0.01</f>
        <v>2233.9599999999996</v>
      </c>
      <c r="I164" s="15"/>
      <c r="J164" s="15"/>
      <c r="K164" s="15"/>
      <c r="L164" s="56"/>
    </row>
    <row r="165" spans="2:12" ht="18" customHeight="1" x14ac:dyDescent="0.25">
      <c r="B165" s="192" t="s">
        <v>98</v>
      </c>
      <c r="C165" s="192"/>
      <c r="D165" s="143">
        <f t="shared" si="0"/>
        <v>3554.2</v>
      </c>
      <c r="E165" s="143">
        <f>ROUND('Lei 1.218.2024'!E165*1.0462,2)-0.01</f>
        <v>355.42</v>
      </c>
      <c r="F165" s="143">
        <f>ROUND('Lei 1.218.2024'!F165*1.0462,2)-0.01</f>
        <v>1066.26</v>
      </c>
      <c r="G165" s="145">
        <f>ROUND('Lei 1.218.2024'!G165*1.0462,2)</f>
        <v>2132.52</v>
      </c>
      <c r="I165" s="15"/>
      <c r="J165" s="15"/>
      <c r="K165" s="15"/>
      <c r="L165" s="56"/>
    </row>
    <row r="166" spans="2:12" ht="18" customHeight="1" x14ac:dyDescent="0.25">
      <c r="B166" s="192" t="s">
        <v>99</v>
      </c>
      <c r="C166" s="192"/>
      <c r="D166" s="143">
        <f t="shared" si="0"/>
        <v>3554.2</v>
      </c>
      <c r="E166" s="143">
        <f>ROUND('Lei 1.218.2024'!E166*1.0462,2)-0.01</f>
        <v>355.42</v>
      </c>
      <c r="F166" s="143">
        <f>ROUND('Lei 1.218.2024'!F166*1.0462,2)-0.01</f>
        <v>1066.26</v>
      </c>
      <c r="G166" s="145">
        <f>ROUND('Lei 1.218.2024'!G166*1.0462,2)</f>
        <v>2132.52</v>
      </c>
      <c r="I166" s="15"/>
      <c r="J166" s="15"/>
      <c r="K166" s="15"/>
      <c r="L166" s="56"/>
    </row>
    <row r="167" spans="2:12" ht="18" customHeight="1" x14ac:dyDescent="0.25">
      <c r="B167" s="192" t="s">
        <v>100</v>
      </c>
      <c r="C167" s="192"/>
      <c r="D167" s="143">
        <f t="shared" si="0"/>
        <v>2369.3199999999997</v>
      </c>
      <c r="E167" s="143">
        <f>ROUND('Lei 1.218.2024'!E167*1.0462,2)</f>
        <v>236.93</v>
      </c>
      <c r="F167" s="143">
        <f>ROUND('Lei 1.218.2024'!F167*1.0462,2)</f>
        <v>710.8</v>
      </c>
      <c r="G167" s="145">
        <f>ROUND('Lei 1.218.2024'!G167*1.0462,2)-0.01</f>
        <v>1421.59</v>
      </c>
      <c r="I167" s="15"/>
      <c r="J167" s="15"/>
      <c r="K167" s="15"/>
      <c r="L167" s="56"/>
    </row>
    <row r="168" spans="2:12" ht="18" customHeight="1" x14ac:dyDescent="0.25">
      <c r="B168" s="192" t="s">
        <v>668</v>
      </c>
      <c r="C168" s="192"/>
      <c r="D168" s="143">
        <f t="shared" si="0"/>
        <v>1692.57</v>
      </c>
      <c r="E168" s="143">
        <f>ROUND('Lei 1.218.2024'!E168*1.0462,2)+0.01</f>
        <v>169.26</v>
      </c>
      <c r="F168" s="143">
        <f>ROUND('Lei 1.218.2024'!F168*1.0462,2)</f>
        <v>507.77</v>
      </c>
      <c r="G168" s="145">
        <f>ROUND('Lei 1.218.2024'!G168*1.0462,2)-0.01</f>
        <v>1015.54</v>
      </c>
      <c r="I168" s="15"/>
      <c r="J168" s="15"/>
      <c r="K168" s="15"/>
      <c r="L168" s="56"/>
    </row>
    <row r="172" spans="2:12" x14ac:dyDescent="0.25">
      <c r="B172" t="s">
        <v>639</v>
      </c>
    </row>
    <row r="173" spans="2:12" x14ac:dyDescent="0.25">
      <c r="B173" t="s">
        <v>102</v>
      </c>
    </row>
    <row r="174" spans="2:12" x14ac:dyDescent="0.25">
      <c r="B174" s="75" t="s">
        <v>103</v>
      </c>
      <c r="C174" s="75" t="s">
        <v>104</v>
      </c>
      <c r="D174" s="75" t="s">
        <v>105</v>
      </c>
      <c r="E174" s="193" t="s">
        <v>106</v>
      </c>
      <c r="F174" s="193"/>
      <c r="G174" s="193"/>
    </row>
    <row r="175" spans="2:12" x14ac:dyDescent="0.25">
      <c r="B175" s="75"/>
      <c r="C175" s="75"/>
      <c r="D175" s="75"/>
      <c r="E175" s="136" t="s">
        <v>107</v>
      </c>
      <c r="F175" s="136" t="s">
        <v>108</v>
      </c>
      <c r="G175" s="75" t="s">
        <v>109</v>
      </c>
    </row>
    <row r="176" spans="2:12" ht="15" customHeight="1" x14ac:dyDescent="0.25">
      <c r="B176" s="180" t="s">
        <v>688</v>
      </c>
      <c r="C176" s="181" t="s">
        <v>14</v>
      </c>
      <c r="D176" s="77" t="s">
        <v>15</v>
      </c>
      <c r="E176" s="78">
        <f>ROUND('Lei 1.218.2024'!E176*1.0462,2)</f>
        <v>362.1</v>
      </c>
      <c r="F176" s="78">
        <f>ROUND('Lei 1.218.2024'!F176*1.0462,2)</f>
        <v>724.19</v>
      </c>
      <c r="G176" s="78">
        <f>ROUND('Lei 1.218.2024'!G176*1.0462,2)</f>
        <v>1086.29</v>
      </c>
    </row>
    <row r="177" spans="2:7" x14ac:dyDescent="0.25">
      <c r="B177" s="180"/>
      <c r="C177" s="181"/>
      <c r="D177" s="77" t="s">
        <v>16</v>
      </c>
      <c r="E177" s="78">
        <f>ROUND('Lei 1.218.2024'!E177*1.0462,2)</f>
        <v>369.35</v>
      </c>
      <c r="F177" s="78">
        <f>ROUND('Lei 1.218.2024'!F177*1.0462,2)</f>
        <v>738.67</v>
      </c>
      <c r="G177" s="78">
        <f>ROUND('Lei 1.218.2024'!G177*1.0462,2)</f>
        <v>1108.02</v>
      </c>
    </row>
    <row r="178" spans="2:7" x14ac:dyDescent="0.25">
      <c r="B178" s="180"/>
      <c r="C178" s="181"/>
      <c r="D178" s="77" t="s">
        <v>17</v>
      </c>
      <c r="E178" s="78">
        <f>ROUND('Lei 1.218.2024'!E178*1.0462,2)</f>
        <v>376.73</v>
      </c>
      <c r="F178" s="78">
        <f>ROUND('Lei 1.218.2024'!F178*1.0462,2)</f>
        <v>753.45</v>
      </c>
      <c r="G178" s="78">
        <f>ROUND('Lei 1.218.2024'!G178*1.0462,2)</f>
        <v>1130.18</v>
      </c>
    </row>
    <row r="179" spans="2:7" x14ac:dyDescent="0.25">
      <c r="B179" s="180"/>
      <c r="C179" s="181"/>
      <c r="D179" s="77" t="s">
        <v>18</v>
      </c>
      <c r="E179" s="78">
        <f>ROUND('Lei 1.218.2024'!E179*1.0462,2)</f>
        <v>384.26</v>
      </c>
      <c r="F179" s="78">
        <f>ROUND('Lei 1.218.2024'!F179*1.0462,2)</f>
        <v>768.52</v>
      </c>
      <c r="G179" s="78">
        <f>ROUND('Lei 1.218.2024'!G179*1.0462,2)</f>
        <v>1152.78</v>
      </c>
    </row>
    <row r="180" spans="2:7" x14ac:dyDescent="0.25">
      <c r="B180" s="180"/>
      <c r="C180" s="181"/>
      <c r="D180" s="77" t="s">
        <v>19</v>
      </c>
      <c r="E180" s="78">
        <f>ROUND('Lei 1.218.2024'!E180*1.0462,2)</f>
        <v>391.95</v>
      </c>
      <c r="F180" s="78">
        <f>ROUND('Lei 1.218.2024'!F180*1.0462,2)</f>
        <v>783.9</v>
      </c>
      <c r="G180" s="78">
        <f>ROUND('Lei 1.218.2024'!G180*1.0462,2)</f>
        <v>1175.83</v>
      </c>
    </row>
    <row r="181" spans="2:7" x14ac:dyDescent="0.25">
      <c r="B181" s="180"/>
      <c r="C181" s="181"/>
      <c r="D181" s="77" t="s">
        <v>20</v>
      </c>
      <c r="E181" s="78">
        <f>ROUND('Lei 1.218.2024'!E181*1.0462,2)</f>
        <v>399.77</v>
      </c>
      <c r="F181" s="78">
        <f>ROUND('Lei 1.218.2024'!F181*1.0462,2)</f>
        <v>799.57</v>
      </c>
      <c r="G181" s="78">
        <f>ROUND('Lei 1.218.2024'!G181*1.0462,2)</f>
        <v>1199.3399999999999</v>
      </c>
    </row>
    <row r="182" spans="2:7" x14ac:dyDescent="0.25">
      <c r="B182" s="180"/>
      <c r="C182" s="181" t="s">
        <v>21</v>
      </c>
      <c r="D182" s="77" t="s">
        <v>15</v>
      </c>
      <c r="E182" s="78">
        <f>ROUND('Lei 1.218.2024'!E182*1.0462,2)</f>
        <v>407.78</v>
      </c>
      <c r="F182" s="78">
        <f>ROUND('Lei 1.218.2024'!F182*1.0462,2)</f>
        <v>815.57</v>
      </c>
      <c r="G182" s="78">
        <f>ROUND('Lei 1.218.2024'!G182*1.0462,2)</f>
        <v>1223.3399999999999</v>
      </c>
    </row>
    <row r="183" spans="2:7" x14ac:dyDescent="0.25">
      <c r="B183" s="180"/>
      <c r="C183" s="181"/>
      <c r="D183" s="77" t="s">
        <v>16</v>
      </c>
      <c r="E183" s="78">
        <f>ROUND('Lei 1.218.2024'!E183*1.0462,2)</f>
        <v>415.94</v>
      </c>
      <c r="F183" s="78">
        <f>ROUND('Lei 1.218.2024'!F183*1.0462,2)</f>
        <v>831.88</v>
      </c>
      <c r="G183" s="78">
        <f>ROUND('Lei 1.218.2024'!G183*1.0462,2)</f>
        <v>1247.81</v>
      </c>
    </row>
    <row r="184" spans="2:7" x14ac:dyDescent="0.25">
      <c r="B184" s="180"/>
      <c r="C184" s="181"/>
      <c r="D184" s="77" t="s">
        <v>17</v>
      </c>
      <c r="E184" s="78">
        <f>ROUND('Lei 1.218.2024'!E184*1.0462,2)</f>
        <v>424.24</v>
      </c>
      <c r="F184" s="78">
        <f>ROUND('Lei 1.218.2024'!F184*1.0462,2)</f>
        <v>848.52</v>
      </c>
      <c r="G184" s="78">
        <f>ROUND('Lei 1.218.2024'!G184*1.0462,2)</f>
        <v>1272.77</v>
      </c>
    </row>
    <row r="185" spans="2:7" x14ac:dyDescent="0.25">
      <c r="B185" s="180"/>
      <c r="C185" s="181"/>
      <c r="D185" s="77" t="s">
        <v>18</v>
      </c>
      <c r="E185" s="78">
        <f>ROUND('Lei 1.218.2024'!E185*1.0462,2)</f>
        <v>432.75</v>
      </c>
      <c r="F185" s="78">
        <f>ROUND('Lei 1.218.2024'!F185*1.0462,2)</f>
        <v>865.48</v>
      </c>
      <c r="G185" s="78">
        <f>ROUND('Lei 1.218.2024'!G185*1.0462,2)</f>
        <v>1298.22</v>
      </c>
    </row>
    <row r="186" spans="2:7" x14ac:dyDescent="0.25">
      <c r="B186" s="180"/>
      <c r="C186" s="181"/>
      <c r="D186" s="77" t="s">
        <v>19</v>
      </c>
      <c r="E186" s="78">
        <f>ROUND('Lei 1.218.2024'!E186*1.0462,2)</f>
        <v>441.4</v>
      </c>
      <c r="F186" s="78">
        <f>ROUND('Lei 1.218.2024'!F186*1.0462,2)</f>
        <v>882.78</v>
      </c>
      <c r="G186" s="78">
        <f>ROUND('Lei 1.218.2024'!G186*1.0462,2)</f>
        <v>1324.19</v>
      </c>
    </row>
    <row r="187" spans="2:7" x14ac:dyDescent="0.25">
      <c r="B187" s="180"/>
      <c r="C187" s="181"/>
      <c r="D187" s="77" t="s">
        <v>20</v>
      </c>
      <c r="E187" s="78">
        <f>ROUND('Lei 1.218.2024'!E187*1.0462,2)</f>
        <v>450.22</v>
      </c>
      <c r="F187" s="78">
        <f>ROUND('Lei 1.218.2024'!F187*1.0462,2)</f>
        <v>900.44</v>
      </c>
      <c r="G187" s="78">
        <f>ROUND('Lei 1.218.2024'!G187*1.0462,2)</f>
        <v>1350.67</v>
      </c>
    </row>
    <row r="188" spans="2:7" x14ac:dyDescent="0.25">
      <c r="B188" s="180"/>
      <c r="C188" s="180" t="s">
        <v>112</v>
      </c>
      <c r="D188" s="77" t="s">
        <v>15</v>
      </c>
      <c r="E188" s="78">
        <f>ROUND('Lei 1.218.2024'!E188*1.0462,2)</f>
        <v>459.22</v>
      </c>
      <c r="F188" s="78">
        <f>ROUND('Lei 1.218.2024'!F188*1.0462,2)</f>
        <v>918.45</v>
      </c>
      <c r="G188" s="78">
        <f>ROUND('Lei 1.218.2024'!G188*1.0462,2)</f>
        <v>1377.67</v>
      </c>
    </row>
    <row r="189" spans="2:7" x14ac:dyDescent="0.25">
      <c r="B189" s="180"/>
      <c r="C189" s="180"/>
      <c r="D189" s="77" t="s">
        <v>16</v>
      </c>
      <c r="E189" s="78">
        <f>ROUND('Lei 1.218.2024'!E189*1.0462,2)</f>
        <v>468.4</v>
      </c>
      <c r="F189" s="78">
        <f>ROUND('Lei 1.218.2024'!F189*1.0462,2)</f>
        <v>936.82</v>
      </c>
      <c r="G189" s="78">
        <f>ROUND('Lei 1.218.2024'!G189*1.0462,2)</f>
        <v>1405.22</v>
      </c>
    </row>
    <row r="190" spans="2:7" x14ac:dyDescent="0.25">
      <c r="B190" s="180"/>
      <c r="C190" s="180"/>
      <c r="D190" s="77" t="s">
        <v>17</v>
      </c>
      <c r="E190" s="78">
        <f>ROUND('Lei 1.218.2024'!E190*1.0462,2)</f>
        <v>477.78</v>
      </c>
      <c r="F190" s="78">
        <f>ROUND('Lei 1.218.2024'!F190*1.0462,2)</f>
        <v>955.55</v>
      </c>
      <c r="G190" s="78">
        <f>ROUND('Lei 1.218.2024'!G190*1.0462,2)</f>
        <v>1433.34</v>
      </c>
    </row>
    <row r="191" spans="2:7" x14ac:dyDescent="0.25">
      <c r="B191" s="180"/>
      <c r="C191" s="180"/>
      <c r="D191" s="77" t="s">
        <v>18</v>
      </c>
      <c r="E191" s="78">
        <f>ROUND('Lei 1.218.2024'!E191*1.0462,2)</f>
        <v>487.33</v>
      </c>
      <c r="F191" s="78">
        <f>ROUND('Lei 1.218.2024'!F191*1.0462,2)</f>
        <v>974.67</v>
      </c>
      <c r="G191" s="78">
        <f>ROUND('Lei 1.218.2024'!G191*1.0462,2)</f>
        <v>1462</v>
      </c>
    </row>
    <row r="192" spans="2:7" x14ac:dyDescent="0.25">
      <c r="B192" s="180"/>
      <c r="C192" s="180"/>
      <c r="D192" s="77" t="s">
        <v>19</v>
      </c>
      <c r="E192" s="78">
        <f>ROUND('Lei 1.218.2024'!E192*1.0462,2)</f>
        <v>497.07</v>
      </c>
      <c r="F192" s="78">
        <f>ROUND('Lei 1.218.2024'!F192*1.0462,2)</f>
        <v>994.16</v>
      </c>
      <c r="G192" s="78">
        <f>ROUND('Lei 1.218.2024'!G192*1.0462,2)</f>
        <v>1491.24</v>
      </c>
    </row>
    <row r="193" spans="2:8" x14ac:dyDescent="0.25">
      <c r="B193" s="180"/>
      <c r="C193" s="180"/>
      <c r="D193" s="77" t="s">
        <v>20</v>
      </c>
      <c r="E193" s="78">
        <f>ROUND('Lei 1.218.2024'!E193*1.0462,2)</f>
        <v>507.02</v>
      </c>
      <c r="F193" s="78">
        <f>ROUND('Lei 1.218.2024'!F193*1.0462,2)</f>
        <v>1014.04</v>
      </c>
      <c r="G193" s="78">
        <f>ROUND('Lei 1.218.2024'!G193*1.0462,2)</f>
        <v>1521.07</v>
      </c>
    </row>
    <row r="194" spans="2:8" x14ac:dyDescent="0.25">
      <c r="B194" s="137"/>
      <c r="C194" s="138"/>
      <c r="D194" s="139"/>
      <c r="E194" s="140"/>
      <c r="F194" s="141"/>
      <c r="G194" s="142"/>
    </row>
    <row r="195" spans="2:8" x14ac:dyDescent="0.25">
      <c r="B195" s="137"/>
      <c r="C195" s="138"/>
      <c r="D195" s="139"/>
      <c r="E195" s="140"/>
      <c r="F195" s="141"/>
      <c r="G195" s="142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79" t="s">
        <v>114</v>
      </c>
      <c r="C199" s="179"/>
      <c r="D199" s="179"/>
      <c r="E199" s="179"/>
      <c r="F199" s="179"/>
      <c r="G199" s="179"/>
      <c r="H199" s="179"/>
    </row>
    <row r="200" spans="2:8" x14ac:dyDescent="0.25">
      <c r="B200" s="180" t="s">
        <v>115</v>
      </c>
      <c r="C200" s="181" t="s">
        <v>116</v>
      </c>
      <c r="D200" s="181" t="s">
        <v>117</v>
      </c>
      <c r="E200" s="182" t="s">
        <v>106</v>
      </c>
      <c r="F200" s="182"/>
      <c r="G200" s="182"/>
      <c r="H200" s="182"/>
    </row>
    <row r="201" spans="2:8" ht="30" x14ac:dyDescent="0.25">
      <c r="B201" s="180"/>
      <c r="C201" s="181"/>
      <c r="D201" s="181"/>
      <c r="E201" s="132" t="s">
        <v>118</v>
      </c>
      <c r="F201" s="132" t="s">
        <v>107</v>
      </c>
      <c r="G201" s="132" t="s">
        <v>108</v>
      </c>
      <c r="H201" s="132" t="s">
        <v>109</v>
      </c>
    </row>
    <row r="202" spans="2:8" x14ac:dyDescent="0.25">
      <c r="B202" s="180" t="s">
        <v>119</v>
      </c>
      <c r="C202" s="191" t="s">
        <v>14</v>
      </c>
      <c r="D202" s="133" t="s">
        <v>15</v>
      </c>
      <c r="E202" s="83">
        <f>ROUND('Lei 1.218.2024'!E202*1.0462,2)</f>
        <v>192.31</v>
      </c>
      <c r="F202" s="83">
        <f>ROUND('Lei 1.218.2024'!F202*1.0462,2)</f>
        <v>192.31</v>
      </c>
      <c r="G202" s="83">
        <f>ROUND('Lei 1.218.2024'!G202*1.0462,2)</f>
        <v>384.62</v>
      </c>
      <c r="H202" s="83">
        <f>ROUND('Lei 1.218.2024'!H202*1.0462,2)</f>
        <v>576.94000000000005</v>
      </c>
    </row>
    <row r="203" spans="2:8" x14ac:dyDescent="0.25">
      <c r="B203" s="180"/>
      <c r="C203" s="191"/>
      <c r="D203" s="133" t="s">
        <v>16</v>
      </c>
      <c r="E203" s="83">
        <f>ROUND('Lei 1.218.2024'!E203*1.0462,2)</f>
        <v>196.16</v>
      </c>
      <c r="F203" s="83">
        <f>ROUND('Lei 1.218.2024'!F203*1.0462,2)</f>
        <v>196.16</v>
      </c>
      <c r="G203" s="83">
        <f>ROUND('Lei 1.218.2024'!G203*1.0462,2)</f>
        <v>392.33</v>
      </c>
      <c r="H203" s="83">
        <f>ROUND('Lei 1.218.2024'!H203*1.0462,2)</f>
        <v>588.49</v>
      </c>
    </row>
    <row r="204" spans="2:8" x14ac:dyDescent="0.25">
      <c r="B204" s="180"/>
      <c r="C204" s="191"/>
      <c r="D204" s="133" t="s">
        <v>17</v>
      </c>
      <c r="E204" s="83">
        <f>ROUND('Lei 1.218.2024'!E204*1.0462,2)</f>
        <v>200.1</v>
      </c>
      <c r="F204" s="83">
        <f>ROUND('Lei 1.218.2024'!F204*1.0462,2)</f>
        <v>200.1</v>
      </c>
      <c r="G204" s="83">
        <f>ROUND('Lei 1.218.2024'!G204*1.0462,2)</f>
        <v>400.17</v>
      </c>
      <c r="H204" s="83">
        <f>ROUND('Lei 1.218.2024'!H204*1.0462,2)</f>
        <v>600.26</v>
      </c>
    </row>
    <row r="205" spans="2:8" x14ac:dyDescent="0.25">
      <c r="B205" s="180"/>
      <c r="C205" s="191"/>
      <c r="D205" s="133" t="s">
        <v>18</v>
      </c>
      <c r="E205" s="83">
        <f>ROUND('Lei 1.218.2024'!E205*1.0462,2)</f>
        <v>204.08</v>
      </c>
      <c r="F205" s="83">
        <f>ROUND('Lei 1.218.2024'!F205*1.0462,2)</f>
        <v>204.08</v>
      </c>
      <c r="G205" s="83">
        <f>ROUND('Lei 1.218.2024'!G205*1.0462,2)</f>
        <v>408.16</v>
      </c>
      <c r="H205" s="83">
        <f>ROUND('Lei 1.218.2024'!H205*1.0462,2)</f>
        <v>612.25</v>
      </c>
    </row>
    <row r="206" spans="2:8" x14ac:dyDescent="0.25">
      <c r="B206" s="180"/>
      <c r="C206" s="191"/>
      <c r="D206" s="133" t="s">
        <v>19</v>
      </c>
      <c r="E206" s="83">
        <f>ROUND('Lei 1.218.2024'!E206*1.0462,2)</f>
        <v>208.16</v>
      </c>
      <c r="F206" s="83">
        <f>ROUND('Lei 1.218.2024'!F206*1.0462,2)</f>
        <v>208.16</v>
      </c>
      <c r="G206" s="83">
        <f>ROUND('Lei 1.218.2024'!G206*1.0462,2)</f>
        <v>416.34</v>
      </c>
      <c r="H206" s="83">
        <f>ROUND('Lei 1.218.2024'!H206*1.0462,2)</f>
        <v>624.5</v>
      </c>
    </row>
    <row r="207" spans="2:8" x14ac:dyDescent="0.25">
      <c r="B207" s="180"/>
      <c r="C207" s="191"/>
      <c r="D207" s="133" t="s">
        <v>20</v>
      </c>
      <c r="E207" s="83">
        <f>ROUND('Lei 1.218.2024'!E207*1.0462,2)</f>
        <v>212.34</v>
      </c>
      <c r="F207" s="83">
        <f>ROUND('Lei 1.218.2024'!F207*1.0462,2)</f>
        <v>212.34</v>
      </c>
      <c r="G207" s="83">
        <f>ROUND('Lei 1.218.2024'!G207*1.0462,2)</f>
        <v>424.66</v>
      </c>
      <c r="H207" s="83">
        <f>ROUND('Lei 1.218.2024'!H207*1.0462,2)</f>
        <v>637</v>
      </c>
    </row>
    <row r="208" spans="2:8" x14ac:dyDescent="0.25">
      <c r="B208" s="180"/>
      <c r="C208" s="191" t="s">
        <v>21</v>
      </c>
      <c r="D208" s="133" t="s">
        <v>15</v>
      </c>
      <c r="E208" s="83">
        <f>ROUND('Lei 1.218.2024'!E208*1.0462,2)</f>
        <v>216.57</v>
      </c>
      <c r="F208" s="83">
        <f>ROUND('Lei 1.218.2024'!F208*1.0462,2)</f>
        <v>216.57</v>
      </c>
      <c r="G208" s="83">
        <f>ROUND('Lei 1.218.2024'!G208*1.0462,2)</f>
        <v>433.15</v>
      </c>
      <c r="H208" s="83">
        <f>ROUND('Lei 1.218.2024'!H208*1.0462,2)</f>
        <v>649.72</v>
      </c>
    </row>
    <row r="209" spans="2:8" x14ac:dyDescent="0.25">
      <c r="B209" s="180"/>
      <c r="C209" s="191"/>
      <c r="D209" s="133" t="s">
        <v>16</v>
      </c>
      <c r="E209" s="83">
        <f>ROUND('Lei 1.218.2024'!E209*1.0462,2)</f>
        <v>220.92</v>
      </c>
      <c r="F209" s="83">
        <f>ROUND('Lei 1.218.2024'!F209*1.0462,2)</f>
        <v>220.92</v>
      </c>
      <c r="G209" s="83">
        <f>ROUND('Lei 1.218.2024'!G209*1.0462,2)</f>
        <v>441.82</v>
      </c>
      <c r="H209" s="83">
        <f>ROUND('Lei 1.218.2024'!H209*1.0462,2)</f>
        <v>662.74</v>
      </c>
    </row>
    <row r="210" spans="2:8" x14ac:dyDescent="0.25">
      <c r="B210" s="180"/>
      <c r="C210" s="191"/>
      <c r="D210" s="133" t="s">
        <v>17</v>
      </c>
      <c r="E210" s="83">
        <f>ROUND('Lei 1.218.2024'!E210*1.0462,2)</f>
        <v>225.32</v>
      </c>
      <c r="F210" s="83">
        <f>ROUND('Lei 1.218.2024'!F210*1.0462,2)</f>
        <v>225.32</v>
      </c>
      <c r="G210" s="83">
        <f>ROUND('Lei 1.218.2024'!G210*1.0462,2)</f>
        <v>450.65</v>
      </c>
      <c r="H210" s="83">
        <f>ROUND('Lei 1.218.2024'!H210*1.0462,2)</f>
        <v>675.96</v>
      </c>
    </row>
    <row r="211" spans="2:8" x14ac:dyDescent="0.25">
      <c r="B211" s="180"/>
      <c r="C211" s="191"/>
      <c r="D211" s="133" t="s">
        <v>18</v>
      </c>
      <c r="E211" s="83">
        <f>ROUND('Lei 1.218.2024'!E211*1.0462,2)</f>
        <v>229.84</v>
      </c>
      <c r="F211" s="83">
        <f>ROUND('Lei 1.218.2024'!F211*1.0462,2)</f>
        <v>229.84</v>
      </c>
      <c r="G211" s="83">
        <f>ROUND('Lei 1.218.2024'!G211*1.0462,2)</f>
        <v>459.66</v>
      </c>
      <c r="H211" s="83">
        <f>ROUND('Lei 1.218.2024'!H211*1.0462,2)</f>
        <v>689.5</v>
      </c>
    </row>
    <row r="212" spans="2:8" x14ac:dyDescent="0.25">
      <c r="B212" s="180"/>
      <c r="C212" s="191"/>
      <c r="D212" s="133" t="s">
        <v>19</v>
      </c>
      <c r="E212" s="83">
        <f>ROUND('Lei 1.218.2024'!E212*1.0462,2)</f>
        <v>234.43</v>
      </c>
      <c r="F212" s="83">
        <f>ROUND('Lei 1.218.2024'!F212*1.0462,2)</f>
        <v>234.43</v>
      </c>
      <c r="G212" s="83">
        <f>ROUND('Lei 1.218.2024'!G212*1.0462,2)</f>
        <v>468.85</v>
      </c>
      <c r="H212" s="83">
        <f>ROUND('Lei 1.218.2024'!H212*1.0462,2)</f>
        <v>703.27</v>
      </c>
    </row>
    <row r="213" spans="2:8" x14ac:dyDescent="0.25">
      <c r="B213" s="180"/>
      <c r="C213" s="191"/>
      <c r="D213" s="133" t="s">
        <v>20</v>
      </c>
      <c r="E213" s="83">
        <f>ROUND('Lei 1.218.2024'!E213*1.0462,2)</f>
        <v>239.12</v>
      </c>
      <c r="F213" s="83">
        <f>ROUND('Lei 1.218.2024'!F213*1.0462,2)</f>
        <v>239.12</v>
      </c>
      <c r="G213" s="83">
        <f>ROUND('Lei 1.218.2024'!G213*1.0462,2)</f>
        <v>478.23</v>
      </c>
      <c r="H213" s="83">
        <f>ROUND('Lei 1.218.2024'!H213*1.0462,2)</f>
        <v>717.35</v>
      </c>
    </row>
    <row r="214" spans="2:8" x14ac:dyDescent="0.25">
      <c r="B214" s="180"/>
      <c r="C214" s="179" t="s">
        <v>112</v>
      </c>
      <c r="D214" s="133" t="s">
        <v>15</v>
      </c>
      <c r="E214" s="83">
        <f>ROUND('Lei 1.218.2024'!E214*1.0462,2)</f>
        <v>243.89</v>
      </c>
      <c r="F214" s="83">
        <f>ROUND('Lei 1.218.2024'!F214*1.0462,2)</f>
        <v>243.89</v>
      </c>
      <c r="G214" s="83">
        <f>ROUND('Lei 1.218.2024'!G214*1.0462,2)</f>
        <v>487.79</v>
      </c>
      <c r="H214" s="83">
        <f>ROUND('Lei 1.218.2024'!H214*1.0462,2)</f>
        <v>731.68</v>
      </c>
    </row>
    <row r="215" spans="2:8" x14ac:dyDescent="0.25">
      <c r="B215" s="180"/>
      <c r="C215" s="179"/>
      <c r="D215" s="133" t="s">
        <v>16</v>
      </c>
      <c r="E215" s="83">
        <f>ROUND('Lei 1.218.2024'!E215*1.0462,2)</f>
        <v>248.79</v>
      </c>
      <c r="F215" s="83">
        <f>ROUND('Lei 1.218.2024'!F215*1.0462,2)</f>
        <v>248.79</v>
      </c>
      <c r="G215" s="83">
        <f>ROUND('Lei 1.218.2024'!G215*1.0462,2)</f>
        <v>497.55</v>
      </c>
      <c r="H215" s="83">
        <f>ROUND('Lei 1.218.2024'!H215*1.0462,2)</f>
        <v>746.34</v>
      </c>
    </row>
    <row r="216" spans="2:8" x14ac:dyDescent="0.25">
      <c r="B216" s="180"/>
      <c r="C216" s="179"/>
      <c r="D216" s="133" t="s">
        <v>17</v>
      </c>
      <c r="E216" s="83">
        <f>ROUND('Lei 1.218.2024'!E216*1.0462,2)</f>
        <v>253.76</v>
      </c>
      <c r="F216" s="83">
        <f>ROUND('Lei 1.218.2024'!F216*1.0462,2)</f>
        <v>253.76</v>
      </c>
      <c r="G216" s="83">
        <f>ROUND('Lei 1.218.2024'!G216*1.0462,2)</f>
        <v>507.5</v>
      </c>
      <c r="H216" s="83">
        <f>ROUND('Lei 1.218.2024'!H216*1.0462,2)</f>
        <v>761.26</v>
      </c>
    </row>
    <row r="217" spans="2:8" x14ac:dyDescent="0.25">
      <c r="B217" s="180"/>
      <c r="C217" s="179"/>
      <c r="D217" s="133" t="s">
        <v>18</v>
      </c>
      <c r="E217" s="83">
        <f>ROUND('Lei 1.218.2024'!E217*1.0462,2)</f>
        <v>258.83</v>
      </c>
      <c r="F217" s="83">
        <f>ROUND('Lei 1.218.2024'!F217*1.0462,2)</f>
        <v>258.83</v>
      </c>
      <c r="G217" s="83">
        <f>ROUND('Lei 1.218.2024'!G217*1.0462,2)</f>
        <v>517.66</v>
      </c>
      <c r="H217" s="83">
        <f>ROUND('Lei 1.218.2024'!H217*1.0462,2)</f>
        <v>776.5</v>
      </c>
    </row>
    <row r="218" spans="2:8" x14ac:dyDescent="0.25">
      <c r="B218" s="180"/>
      <c r="C218" s="179"/>
      <c r="D218" s="133" t="s">
        <v>19</v>
      </c>
      <c r="E218" s="83">
        <f>ROUND('Lei 1.218.2024'!E218*1.0462,2)</f>
        <v>264.01</v>
      </c>
      <c r="F218" s="83">
        <f>ROUND('Lei 1.218.2024'!F218*1.0462,2)</f>
        <v>264.01</v>
      </c>
      <c r="G218" s="83">
        <f>ROUND('Lei 1.218.2024'!G218*1.0462,2)</f>
        <v>528.01</v>
      </c>
      <c r="H218" s="83">
        <f>ROUND('Lei 1.218.2024'!H218*1.0462,2)</f>
        <v>792.03</v>
      </c>
    </row>
    <row r="219" spans="2:8" x14ac:dyDescent="0.25">
      <c r="B219" s="190"/>
      <c r="C219" s="187"/>
      <c r="D219" s="135" t="s">
        <v>20</v>
      </c>
      <c r="E219" s="83">
        <f>ROUND('Lei 1.218.2024'!E219*1.0462,2)</f>
        <v>269.29000000000002</v>
      </c>
      <c r="F219" s="83">
        <f>ROUND('Lei 1.218.2024'!F219*1.0462,2)</f>
        <v>269.29000000000002</v>
      </c>
      <c r="G219" s="83">
        <f>ROUND('Lei 1.218.2024'!G219*1.0462,2)</f>
        <v>538.57000000000005</v>
      </c>
      <c r="H219" s="83">
        <f>ROUND('Lei 1.218.2024'!H219*1.0462,2)</f>
        <v>807.87</v>
      </c>
    </row>
    <row r="220" spans="2:8" x14ac:dyDescent="0.25">
      <c r="B220" s="180" t="s">
        <v>115</v>
      </c>
      <c r="C220" s="181" t="s">
        <v>116</v>
      </c>
      <c r="D220" s="181" t="s">
        <v>117</v>
      </c>
      <c r="E220" s="182" t="s">
        <v>106</v>
      </c>
      <c r="F220" s="182"/>
      <c r="G220" s="182"/>
      <c r="H220" s="182"/>
    </row>
    <row r="221" spans="2:8" ht="30" x14ac:dyDescent="0.25">
      <c r="B221" s="180"/>
      <c r="C221" s="181"/>
      <c r="D221" s="181"/>
      <c r="E221" s="132" t="s">
        <v>118</v>
      </c>
      <c r="F221" s="132" t="s">
        <v>107</v>
      </c>
      <c r="G221" s="132" t="s">
        <v>108</v>
      </c>
      <c r="H221" s="132" t="s">
        <v>109</v>
      </c>
    </row>
    <row r="222" spans="2:8" ht="15" customHeight="1" x14ac:dyDescent="0.25">
      <c r="B222" s="184" t="s">
        <v>120</v>
      </c>
      <c r="C222" s="183" t="s">
        <v>14</v>
      </c>
      <c r="D222" s="133" t="s">
        <v>15</v>
      </c>
      <c r="E222" s="83">
        <f>ROUND('Lei 1.218.2024'!E222*1.0462,2)</f>
        <v>232.38</v>
      </c>
      <c r="F222" s="83">
        <f>ROUND('Lei 1.218.2024'!F222*1.0462,2)</f>
        <v>232.38</v>
      </c>
      <c r="G222" s="83">
        <f>ROUND('Lei 1.218.2024'!G222*1.0462,2)</f>
        <v>464.78</v>
      </c>
      <c r="H222" s="83">
        <f>ROUND('Lei 1.218.2024'!H222*1.0462,2)</f>
        <v>697.17</v>
      </c>
    </row>
    <row r="223" spans="2:8" x14ac:dyDescent="0.25">
      <c r="B223" s="185"/>
      <c r="C223" s="183"/>
      <c r="D223" s="133" t="s">
        <v>16</v>
      </c>
      <c r="E223" s="83">
        <f>ROUND('Lei 1.218.2024'!E223*1.0462,2)</f>
        <v>237.05</v>
      </c>
      <c r="F223" s="83">
        <f>ROUND('Lei 1.218.2024'!F223*1.0462,2)</f>
        <v>237.05</v>
      </c>
      <c r="G223" s="83">
        <f>ROUND('Lei 1.218.2024'!G223*1.0462,2)</f>
        <v>474.09</v>
      </c>
      <c r="H223" s="83">
        <f>ROUND('Lei 1.218.2024'!H223*1.0462,2)</f>
        <v>711.14</v>
      </c>
    </row>
    <row r="224" spans="2:8" x14ac:dyDescent="0.25">
      <c r="B224" s="185"/>
      <c r="C224" s="183"/>
      <c r="D224" s="133" t="s">
        <v>17</v>
      </c>
      <c r="E224" s="83">
        <f>ROUND('Lei 1.218.2024'!E224*1.0462,2)</f>
        <v>241.78</v>
      </c>
      <c r="F224" s="83">
        <f>ROUND('Lei 1.218.2024'!F224*1.0462,2)</f>
        <v>241.78</v>
      </c>
      <c r="G224" s="83">
        <f>ROUND('Lei 1.218.2024'!G224*1.0462,2)</f>
        <v>483.57</v>
      </c>
      <c r="H224" s="83">
        <f>ROUND('Lei 1.218.2024'!H224*1.0462,2)</f>
        <v>725.35</v>
      </c>
    </row>
    <row r="225" spans="2:8" x14ac:dyDescent="0.25">
      <c r="B225" s="185"/>
      <c r="C225" s="183"/>
      <c r="D225" s="133" t="s">
        <v>18</v>
      </c>
      <c r="E225" s="83">
        <f>ROUND('Lei 1.218.2024'!E225*1.0462,2)</f>
        <v>246.61</v>
      </c>
      <c r="F225" s="83">
        <f>ROUND('Lei 1.218.2024'!F225*1.0462,2)</f>
        <v>246.61</v>
      </c>
      <c r="G225" s="83">
        <f>ROUND('Lei 1.218.2024'!G225*1.0462,2)</f>
        <v>493.22</v>
      </c>
      <c r="H225" s="83">
        <f>ROUND('Lei 1.218.2024'!H225*1.0462,2)</f>
        <v>739.83</v>
      </c>
    </row>
    <row r="226" spans="2:8" x14ac:dyDescent="0.25">
      <c r="B226" s="185"/>
      <c r="C226" s="183"/>
      <c r="D226" s="133" t="s">
        <v>19</v>
      </c>
      <c r="E226" s="83">
        <f>ROUND('Lei 1.218.2024'!E226*1.0462,2)</f>
        <v>251.55</v>
      </c>
      <c r="F226" s="83">
        <f>ROUND('Lei 1.218.2024'!F226*1.0462,2)</f>
        <v>251.55</v>
      </c>
      <c r="G226" s="83">
        <f>ROUND('Lei 1.218.2024'!G226*1.0462,2)</f>
        <v>503.09</v>
      </c>
      <c r="H226" s="83">
        <f>ROUND('Lei 1.218.2024'!H226*1.0462,2)</f>
        <v>754.63</v>
      </c>
    </row>
    <row r="227" spans="2:8" x14ac:dyDescent="0.25">
      <c r="B227" s="185"/>
      <c r="C227" s="183"/>
      <c r="D227" s="133" t="s">
        <v>20</v>
      </c>
      <c r="E227" s="83">
        <f>ROUND('Lei 1.218.2024'!E227*1.0462,2)</f>
        <v>256.57</v>
      </c>
      <c r="F227" s="83">
        <f>ROUND('Lei 1.218.2024'!F227*1.0462,2)</f>
        <v>256.57</v>
      </c>
      <c r="G227" s="83">
        <f>ROUND('Lei 1.218.2024'!G227*1.0462,2)</f>
        <v>513.16</v>
      </c>
      <c r="H227" s="83">
        <f>ROUND('Lei 1.218.2024'!H227*1.0462,2)</f>
        <v>769.73</v>
      </c>
    </row>
    <row r="228" spans="2:8" x14ac:dyDescent="0.25">
      <c r="B228" s="185"/>
      <c r="C228" s="183" t="s">
        <v>21</v>
      </c>
      <c r="D228" s="133" t="s">
        <v>15</v>
      </c>
      <c r="E228" s="83">
        <f>ROUND('Lei 1.218.2024'!E228*1.0462,2)</f>
        <v>261.70999999999998</v>
      </c>
      <c r="F228" s="83">
        <f>ROUND('Lei 1.218.2024'!F228*1.0462,2)</f>
        <v>261.70999999999998</v>
      </c>
      <c r="G228" s="83">
        <f>ROUND('Lei 1.218.2024'!G228*1.0462,2)</f>
        <v>523.41</v>
      </c>
      <c r="H228" s="83">
        <f>ROUND('Lei 1.218.2024'!H228*1.0462,2)</f>
        <v>785.12</v>
      </c>
    </row>
    <row r="229" spans="2:8" x14ac:dyDescent="0.25">
      <c r="B229" s="185"/>
      <c r="C229" s="183"/>
      <c r="D229" s="133" t="s">
        <v>16</v>
      </c>
      <c r="E229" s="83">
        <f>ROUND('Lei 1.218.2024'!E229*1.0462,2)</f>
        <v>266.95</v>
      </c>
      <c r="F229" s="83">
        <f>ROUND('Lei 1.218.2024'!F229*1.0462,2)</f>
        <v>266.95</v>
      </c>
      <c r="G229" s="83">
        <f>ROUND('Lei 1.218.2024'!G229*1.0462,2)</f>
        <v>533.89</v>
      </c>
      <c r="H229" s="83">
        <f>ROUND('Lei 1.218.2024'!H229*1.0462,2)</f>
        <v>800.85</v>
      </c>
    </row>
    <row r="230" spans="2:8" x14ac:dyDescent="0.25">
      <c r="B230" s="185"/>
      <c r="C230" s="183"/>
      <c r="D230" s="133" t="s">
        <v>17</v>
      </c>
      <c r="E230" s="83">
        <f>ROUND('Lei 1.218.2024'!E230*1.0462,2)</f>
        <v>272.27999999999997</v>
      </c>
      <c r="F230" s="83">
        <f>ROUND('Lei 1.218.2024'!F230*1.0462,2)</f>
        <v>272.27999999999997</v>
      </c>
      <c r="G230" s="83">
        <f>ROUND('Lei 1.218.2024'!G230*1.0462,2)</f>
        <v>544.57000000000005</v>
      </c>
      <c r="H230" s="83">
        <f>ROUND('Lei 1.218.2024'!H230*1.0462,2)</f>
        <v>816.85</v>
      </c>
    </row>
    <row r="231" spans="2:8" x14ac:dyDescent="0.25">
      <c r="B231" s="185"/>
      <c r="C231" s="183"/>
      <c r="D231" s="133" t="s">
        <v>18</v>
      </c>
      <c r="E231" s="83">
        <f>ROUND('Lei 1.218.2024'!E231*1.0462,2)</f>
        <v>277.73</v>
      </c>
      <c r="F231" s="83">
        <f>ROUND('Lei 1.218.2024'!F231*1.0462,2)</f>
        <v>277.73</v>
      </c>
      <c r="G231" s="83">
        <f>ROUND('Lei 1.218.2024'!G231*1.0462,2)</f>
        <v>555.47</v>
      </c>
      <c r="H231" s="83">
        <f>ROUND('Lei 1.218.2024'!H231*1.0462,2)</f>
        <v>833.19</v>
      </c>
    </row>
    <row r="232" spans="2:8" x14ac:dyDescent="0.25">
      <c r="B232" s="185"/>
      <c r="C232" s="183"/>
      <c r="D232" s="133" t="s">
        <v>19</v>
      </c>
      <c r="E232" s="83">
        <f>ROUND('Lei 1.218.2024'!E232*1.0462,2)</f>
        <v>283.27999999999997</v>
      </c>
      <c r="F232" s="83">
        <f>ROUND('Lei 1.218.2024'!F232*1.0462,2)</f>
        <v>283.27999999999997</v>
      </c>
      <c r="G232" s="83">
        <f>ROUND('Lei 1.218.2024'!G232*1.0462,2)</f>
        <v>566.55999999999995</v>
      </c>
      <c r="H232" s="83">
        <f>ROUND('Lei 1.218.2024'!H232*1.0462,2)</f>
        <v>849.83</v>
      </c>
    </row>
    <row r="233" spans="2:8" x14ac:dyDescent="0.25">
      <c r="B233" s="185"/>
      <c r="C233" s="183"/>
      <c r="D233" s="133" t="s">
        <v>20</v>
      </c>
      <c r="E233" s="83">
        <f>ROUND('Lei 1.218.2024'!E233*1.0462,2)</f>
        <v>288.95</v>
      </c>
      <c r="F233" s="83">
        <f>ROUND('Lei 1.218.2024'!F233*1.0462,2)</f>
        <v>288.95</v>
      </c>
      <c r="G233" s="83">
        <f>ROUND('Lei 1.218.2024'!G233*1.0462,2)</f>
        <v>577.88</v>
      </c>
      <c r="H233" s="83">
        <f>ROUND('Lei 1.218.2024'!H233*1.0462,2)</f>
        <v>866.83</v>
      </c>
    </row>
    <row r="234" spans="2:8" x14ac:dyDescent="0.25">
      <c r="B234" s="185"/>
      <c r="C234" s="187" t="s">
        <v>112</v>
      </c>
      <c r="D234" s="133" t="s">
        <v>15</v>
      </c>
      <c r="E234" s="83">
        <f>ROUND('Lei 1.218.2024'!E234*1.0462,2)</f>
        <v>294.73</v>
      </c>
      <c r="F234" s="83">
        <f>ROUND('Lei 1.218.2024'!F234*1.0462,2)</f>
        <v>294.73</v>
      </c>
      <c r="G234" s="83">
        <f>ROUND('Lei 1.218.2024'!G234*1.0462,2)</f>
        <v>589.46</v>
      </c>
      <c r="H234" s="83">
        <f>ROUND('Lei 1.218.2024'!H234*1.0462,2)</f>
        <v>884.19</v>
      </c>
    </row>
    <row r="235" spans="2:8" x14ac:dyDescent="0.25">
      <c r="B235" s="185"/>
      <c r="C235" s="188"/>
      <c r="D235" s="133" t="s">
        <v>16</v>
      </c>
      <c r="E235" s="83">
        <f>ROUND('Lei 1.218.2024'!E235*1.0462,2)</f>
        <v>300.62</v>
      </c>
      <c r="F235" s="83">
        <f>ROUND('Lei 1.218.2024'!F235*1.0462,2)</f>
        <v>300.62</v>
      </c>
      <c r="G235" s="83">
        <f>ROUND('Lei 1.218.2024'!G235*1.0462,2)</f>
        <v>601.24</v>
      </c>
      <c r="H235" s="83">
        <f>ROUND('Lei 1.218.2024'!H235*1.0462,2)</f>
        <v>901.85</v>
      </c>
    </row>
    <row r="236" spans="2:8" x14ac:dyDescent="0.25">
      <c r="B236" s="185"/>
      <c r="C236" s="188"/>
      <c r="D236" s="133" t="s">
        <v>17</v>
      </c>
      <c r="E236" s="83">
        <f>ROUND('Lei 1.218.2024'!E236*1.0462,2)</f>
        <v>306.63</v>
      </c>
      <c r="F236" s="83">
        <f>ROUND('Lei 1.218.2024'!F236*1.0462,2)</f>
        <v>306.63</v>
      </c>
      <c r="G236" s="83">
        <f>ROUND('Lei 1.218.2024'!G236*1.0462,2)</f>
        <v>613.27</v>
      </c>
      <c r="H236" s="83">
        <f>ROUND('Lei 1.218.2024'!H236*1.0462,2)</f>
        <v>919.9</v>
      </c>
    </row>
    <row r="237" spans="2:8" x14ac:dyDescent="0.25">
      <c r="B237" s="185"/>
      <c r="C237" s="188"/>
      <c r="D237" s="133" t="s">
        <v>18</v>
      </c>
      <c r="E237" s="83">
        <f>ROUND('Lei 1.218.2024'!E237*1.0462,2)</f>
        <v>312.76</v>
      </c>
      <c r="F237" s="83">
        <f>ROUND('Lei 1.218.2024'!F237*1.0462,2)</f>
        <v>312.76</v>
      </c>
      <c r="G237" s="83">
        <f>ROUND('Lei 1.218.2024'!G237*1.0462,2)</f>
        <v>625.53</v>
      </c>
      <c r="H237" s="83">
        <f>ROUND('Lei 1.218.2024'!H237*1.0462,2)</f>
        <v>938.29</v>
      </c>
    </row>
    <row r="238" spans="2:8" x14ac:dyDescent="0.25">
      <c r="B238" s="185"/>
      <c r="C238" s="188"/>
      <c r="D238" s="133" t="s">
        <v>19</v>
      </c>
      <c r="E238" s="83">
        <f>ROUND('Lei 1.218.2024'!E238*1.0462,2)</f>
        <v>319.02</v>
      </c>
      <c r="F238" s="83">
        <f>ROUND('Lei 1.218.2024'!F238*1.0462,2)</f>
        <v>319.02</v>
      </c>
      <c r="G238" s="83">
        <f>ROUND('Lei 1.218.2024'!G238*1.0462,2)</f>
        <v>638.04</v>
      </c>
      <c r="H238" s="83">
        <f>ROUND('Lei 1.218.2024'!H238*1.0462,2)</f>
        <v>957.06</v>
      </c>
    </row>
    <row r="239" spans="2:8" x14ac:dyDescent="0.25">
      <c r="B239" s="186"/>
      <c r="C239" s="189"/>
      <c r="D239" s="133" t="s">
        <v>20</v>
      </c>
      <c r="E239" s="83">
        <f>ROUND('Lei 1.218.2024'!E239*1.0462,2)</f>
        <v>325.39</v>
      </c>
      <c r="F239" s="83">
        <f>ROUND('Lei 1.218.2024'!F239*1.0462,2)</f>
        <v>325.45999999999998</v>
      </c>
      <c r="G239" s="83">
        <f>ROUND('Lei 1.218.2024'!G239*1.0462,2)</f>
        <v>650.79999999999995</v>
      </c>
      <c r="H239" s="83">
        <f>ROUND('Lei 1.218.2024'!H239*1.0462,2)</f>
        <v>976.2</v>
      </c>
    </row>
    <row r="241" spans="2:8" x14ac:dyDescent="0.25">
      <c r="B241" s="180" t="s">
        <v>115</v>
      </c>
      <c r="C241" s="181" t="s">
        <v>116</v>
      </c>
      <c r="D241" s="181" t="s">
        <v>117</v>
      </c>
      <c r="E241" s="182" t="s">
        <v>106</v>
      </c>
      <c r="F241" s="182"/>
      <c r="G241" s="182"/>
      <c r="H241" s="182"/>
    </row>
    <row r="242" spans="2:8" ht="30" x14ac:dyDescent="0.25">
      <c r="B242" s="180"/>
      <c r="C242" s="181"/>
      <c r="D242" s="181"/>
      <c r="E242" s="132" t="s">
        <v>118</v>
      </c>
      <c r="F242" s="132" t="s">
        <v>107</v>
      </c>
      <c r="G242" s="132" t="s">
        <v>108</v>
      </c>
      <c r="H242" s="132" t="s">
        <v>109</v>
      </c>
    </row>
    <row r="243" spans="2:8" x14ac:dyDescent="0.25">
      <c r="B243" s="183" t="s">
        <v>669</v>
      </c>
      <c r="C243" s="179" t="s">
        <v>14</v>
      </c>
      <c r="D243" s="133" t="s">
        <v>15</v>
      </c>
      <c r="E243" s="83">
        <f>ROUND('Lei 1.218.2024'!E243*1.0462,2)</f>
        <v>158.38</v>
      </c>
      <c r="F243" s="83">
        <f>ROUND('Lei 1.218.2024'!F243*1.0462,2)</f>
        <v>158.38</v>
      </c>
      <c r="G243" s="83">
        <f>ROUND('Lei 1.218.2024'!G243*1.0462,2)</f>
        <v>316.75</v>
      </c>
      <c r="H243" s="83">
        <f>ROUND('Lei 1.218.2024'!H243*1.0462,2)</f>
        <v>475.13</v>
      </c>
    </row>
    <row r="244" spans="2:8" x14ac:dyDescent="0.25">
      <c r="B244" s="183"/>
      <c r="C244" s="179"/>
      <c r="D244" s="133" t="s">
        <v>16</v>
      </c>
      <c r="E244" s="83">
        <f>ROUND('Lei 1.218.2024'!E244*1.0462,2)</f>
        <v>161.54</v>
      </c>
      <c r="F244" s="83">
        <f>ROUND('Lei 1.218.2024'!F244*1.0462,2)</f>
        <v>161.54</v>
      </c>
      <c r="G244" s="83">
        <f>ROUND('Lei 1.218.2024'!G244*1.0462,2)</f>
        <v>323.08999999999997</v>
      </c>
      <c r="H244" s="83">
        <f>ROUND('Lei 1.218.2024'!H244*1.0462,2)</f>
        <v>484.62</v>
      </c>
    </row>
    <row r="245" spans="2:8" x14ac:dyDescent="0.25">
      <c r="B245" s="183"/>
      <c r="C245" s="179"/>
      <c r="D245" s="133" t="s">
        <v>17</v>
      </c>
      <c r="E245" s="83">
        <f>ROUND('Lei 1.218.2024'!E245*1.0462,2)</f>
        <v>164.77</v>
      </c>
      <c r="F245" s="83">
        <f>ROUND('Lei 1.218.2024'!F245*1.0462,2)</f>
        <v>164.77</v>
      </c>
      <c r="G245" s="83">
        <f>ROUND('Lei 1.218.2024'!G245*1.0462,2)</f>
        <v>329.54</v>
      </c>
      <c r="H245" s="83">
        <f>ROUND('Lei 1.218.2024'!H245*1.0462,2)</f>
        <v>494.31</v>
      </c>
    </row>
    <row r="246" spans="2:8" x14ac:dyDescent="0.25">
      <c r="B246" s="183"/>
      <c r="C246" s="179"/>
      <c r="D246" s="133" t="s">
        <v>18</v>
      </c>
      <c r="E246" s="83">
        <f>ROUND('Lei 1.218.2024'!E246*1.0462,2)</f>
        <v>168.07</v>
      </c>
      <c r="F246" s="83">
        <f>ROUND('Lei 1.218.2024'!F246*1.0462,2)</f>
        <v>168.07</v>
      </c>
      <c r="G246" s="83">
        <f>ROUND('Lei 1.218.2024'!G246*1.0462,2)</f>
        <v>336.12</v>
      </c>
      <c r="H246" s="83">
        <f>ROUND('Lei 1.218.2024'!H246*1.0462,2)</f>
        <v>504.2</v>
      </c>
    </row>
    <row r="247" spans="2:8" x14ac:dyDescent="0.25">
      <c r="B247" s="183"/>
      <c r="C247" s="179"/>
      <c r="D247" s="133" t="s">
        <v>19</v>
      </c>
      <c r="E247" s="83">
        <f>ROUND('Lei 1.218.2024'!E247*1.0462,2)</f>
        <v>171.42</v>
      </c>
      <c r="F247" s="83">
        <f>ROUND('Lei 1.218.2024'!F247*1.0462,2)</f>
        <v>171.42</v>
      </c>
      <c r="G247" s="83">
        <f>ROUND('Lei 1.218.2024'!G247*1.0462,2)</f>
        <v>342.85</v>
      </c>
      <c r="H247" s="83">
        <f>ROUND('Lei 1.218.2024'!H247*1.0462,2)</f>
        <v>514.28</v>
      </c>
    </row>
    <row r="248" spans="2:8" x14ac:dyDescent="0.25">
      <c r="B248" s="183"/>
      <c r="C248" s="179"/>
      <c r="D248" s="133" t="s">
        <v>20</v>
      </c>
      <c r="E248" s="83">
        <f>ROUND('Lei 1.218.2024'!E248*1.0462,2)</f>
        <v>174.86</v>
      </c>
      <c r="F248" s="83">
        <f>ROUND('Lei 1.218.2024'!F248*1.0462,2)</f>
        <v>174.86</v>
      </c>
      <c r="G248" s="83">
        <f>ROUND('Lei 1.218.2024'!G248*1.0462,2)</f>
        <v>349.72</v>
      </c>
      <c r="H248" s="83">
        <f>ROUND('Lei 1.218.2024'!H248*1.0462,2)</f>
        <v>524.59</v>
      </c>
    </row>
    <row r="249" spans="2:8" x14ac:dyDescent="0.25">
      <c r="B249" s="183"/>
      <c r="C249" s="179" t="s">
        <v>21</v>
      </c>
      <c r="D249" s="133" t="s">
        <v>15</v>
      </c>
      <c r="E249" s="83">
        <f>ROUND('Lei 1.218.2024'!E249*1.0462,2)</f>
        <v>178.35</v>
      </c>
      <c r="F249" s="83">
        <f>ROUND('Lei 1.218.2024'!F249*1.0462,2)</f>
        <v>178.35</v>
      </c>
      <c r="G249" s="83">
        <f>ROUND('Lei 1.218.2024'!G249*1.0462,2)</f>
        <v>356.7</v>
      </c>
      <c r="H249" s="83">
        <f>ROUND('Lei 1.218.2024'!H249*1.0462,2)</f>
        <v>535.04999999999995</v>
      </c>
    </row>
    <row r="250" spans="2:8" x14ac:dyDescent="0.25">
      <c r="B250" s="183"/>
      <c r="C250" s="179"/>
      <c r="D250" s="133" t="s">
        <v>16</v>
      </c>
      <c r="E250" s="83">
        <f>ROUND('Lei 1.218.2024'!E250*1.0462,2)</f>
        <v>181.91</v>
      </c>
      <c r="F250" s="83">
        <f>ROUND('Lei 1.218.2024'!F250*1.0462,2)</f>
        <v>181.91</v>
      </c>
      <c r="G250" s="83">
        <f>ROUND('Lei 1.218.2024'!G250*1.0462,2)</f>
        <v>363.84</v>
      </c>
      <c r="H250" s="83">
        <f>ROUND('Lei 1.218.2024'!H250*1.0462,2)</f>
        <v>545.75</v>
      </c>
    </row>
    <row r="251" spans="2:8" x14ac:dyDescent="0.25">
      <c r="B251" s="183"/>
      <c r="C251" s="179"/>
      <c r="D251" s="133" t="s">
        <v>17</v>
      </c>
      <c r="E251" s="83">
        <f>ROUND('Lei 1.218.2024'!E251*1.0462,2)</f>
        <v>185.56</v>
      </c>
      <c r="F251" s="83">
        <f>ROUND('Lei 1.218.2024'!F251*1.0462,2)</f>
        <v>185.56</v>
      </c>
      <c r="G251" s="83">
        <f>ROUND('Lei 1.218.2024'!G251*1.0462,2)</f>
        <v>371.12</v>
      </c>
      <c r="H251" s="83">
        <f>ROUND('Lei 1.218.2024'!H251*1.0462,2)</f>
        <v>556.67999999999995</v>
      </c>
    </row>
    <row r="252" spans="2:8" x14ac:dyDescent="0.25">
      <c r="B252" s="183"/>
      <c r="C252" s="179"/>
      <c r="D252" s="133" t="s">
        <v>18</v>
      </c>
      <c r="E252" s="83">
        <f>ROUND('Lei 1.218.2024'!E252*1.0462,2)</f>
        <v>189.27</v>
      </c>
      <c r="F252" s="83">
        <f>ROUND('Lei 1.218.2024'!F252*1.0462,2)</f>
        <v>189.27</v>
      </c>
      <c r="G252" s="83">
        <f>ROUND('Lei 1.218.2024'!G252*1.0462,2)</f>
        <v>378.53</v>
      </c>
      <c r="H252" s="83">
        <f>ROUND('Lei 1.218.2024'!H252*1.0462,2)</f>
        <v>567.79999999999995</v>
      </c>
    </row>
    <row r="253" spans="2:8" x14ac:dyDescent="0.25">
      <c r="B253" s="183"/>
      <c r="C253" s="179"/>
      <c r="D253" s="133" t="s">
        <v>19</v>
      </c>
      <c r="E253" s="83">
        <f>ROUND('Lei 1.218.2024'!E253*1.0462,2)</f>
        <v>193.06</v>
      </c>
      <c r="F253" s="83">
        <f>ROUND('Lei 1.218.2024'!F253*1.0462,2)</f>
        <v>193.06</v>
      </c>
      <c r="G253" s="83">
        <f>ROUND('Lei 1.218.2024'!G253*1.0462,2)</f>
        <v>386.11</v>
      </c>
      <c r="H253" s="83">
        <f>ROUND('Lei 1.218.2024'!H253*1.0462,2)</f>
        <v>579.16</v>
      </c>
    </row>
    <row r="254" spans="2:8" x14ac:dyDescent="0.25">
      <c r="B254" s="183"/>
      <c r="C254" s="179"/>
      <c r="D254" s="133" t="s">
        <v>20</v>
      </c>
      <c r="E254" s="83">
        <f>ROUND('Lei 1.218.2024'!E254*1.0462,2)</f>
        <v>196.92</v>
      </c>
      <c r="F254" s="83">
        <f>ROUND('Lei 1.218.2024'!F254*1.0462,2)</f>
        <v>196.92</v>
      </c>
      <c r="G254" s="83">
        <f>ROUND('Lei 1.218.2024'!G254*1.0462,2)</f>
        <v>393.84</v>
      </c>
      <c r="H254" s="83">
        <f>ROUND('Lei 1.218.2024'!H254*1.0462,2)</f>
        <v>590.76</v>
      </c>
    </row>
    <row r="255" spans="2:8" x14ac:dyDescent="0.25">
      <c r="B255" s="183"/>
      <c r="C255" s="179" t="s">
        <v>112</v>
      </c>
      <c r="D255" s="133" t="s">
        <v>15</v>
      </c>
      <c r="E255" s="83">
        <f>ROUND('Lei 1.218.2024'!E255*1.0462,2)</f>
        <v>200.85</v>
      </c>
      <c r="F255" s="83">
        <f>ROUND('Lei 1.218.2024'!F255*1.0462,2)</f>
        <v>200.85</v>
      </c>
      <c r="G255" s="83">
        <f>ROUND('Lei 1.218.2024'!G255*1.0462,2)</f>
        <v>401.71</v>
      </c>
      <c r="H255" s="83">
        <f>ROUND('Lei 1.218.2024'!H255*1.0462,2)</f>
        <v>602.55999999999995</v>
      </c>
    </row>
    <row r="256" spans="2:8" x14ac:dyDescent="0.25">
      <c r="B256" s="183"/>
      <c r="C256" s="179"/>
      <c r="D256" s="133" t="s">
        <v>16</v>
      </c>
      <c r="E256" s="83">
        <f>ROUND('Lei 1.218.2024'!E256*1.0462,2)</f>
        <v>204.88</v>
      </c>
      <c r="F256" s="83">
        <f>ROUND('Lei 1.218.2024'!F256*1.0462,2)</f>
        <v>204.88</v>
      </c>
      <c r="G256" s="83">
        <f>ROUND('Lei 1.218.2024'!G256*1.0462,2)</f>
        <v>409.74</v>
      </c>
      <c r="H256" s="83">
        <f>ROUND('Lei 1.218.2024'!H256*1.0462,2)</f>
        <v>614.63</v>
      </c>
    </row>
    <row r="257" spans="2:8" x14ac:dyDescent="0.25">
      <c r="B257" s="183"/>
      <c r="C257" s="179"/>
      <c r="D257" s="133" t="s">
        <v>17</v>
      </c>
      <c r="E257" s="83">
        <f>ROUND('Lei 1.218.2024'!E257*1.0462,2)</f>
        <v>208.97</v>
      </c>
      <c r="F257" s="83">
        <f>ROUND('Lei 1.218.2024'!F257*1.0462,2)</f>
        <v>208.97</v>
      </c>
      <c r="G257" s="83">
        <f>ROUND('Lei 1.218.2024'!G257*1.0462,2)</f>
        <v>417.94</v>
      </c>
      <c r="H257" s="83">
        <f>ROUND('Lei 1.218.2024'!H257*1.0462,2)</f>
        <v>626.91</v>
      </c>
    </row>
    <row r="258" spans="2:8" x14ac:dyDescent="0.25">
      <c r="B258" s="183"/>
      <c r="C258" s="179"/>
      <c r="D258" s="133" t="s">
        <v>18</v>
      </c>
      <c r="E258" s="83">
        <f>ROUND('Lei 1.218.2024'!E258*1.0462,2)</f>
        <v>213.14</v>
      </c>
      <c r="F258" s="83">
        <f>ROUND('Lei 1.218.2024'!F258*1.0462,2)</f>
        <v>213.14</v>
      </c>
      <c r="G258" s="83">
        <f>ROUND('Lei 1.218.2024'!G258*1.0462,2)</f>
        <v>426.31</v>
      </c>
      <c r="H258" s="83">
        <f>ROUND('Lei 1.218.2024'!H258*1.0462,2)</f>
        <v>639.45000000000005</v>
      </c>
    </row>
    <row r="259" spans="2:8" x14ac:dyDescent="0.25">
      <c r="B259" s="183"/>
      <c r="C259" s="179"/>
      <c r="D259" s="133" t="s">
        <v>19</v>
      </c>
      <c r="E259" s="83">
        <f>ROUND('Lei 1.218.2024'!E259*1.0462,2)</f>
        <v>217.4</v>
      </c>
      <c r="F259" s="83">
        <f>ROUND('Lei 1.218.2024'!F259*1.0462,2)</f>
        <v>217.4</v>
      </c>
      <c r="G259" s="83">
        <f>ROUND('Lei 1.218.2024'!G259*1.0462,2)</f>
        <v>434.81</v>
      </c>
      <c r="H259" s="83">
        <f>ROUND('Lei 1.218.2024'!H259*1.0462,2)</f>
        <v>652.23</v>
      </c>
    </row>
    <row r="260" spans="2:8" x14ac:dyDescent="0.25">
      <c r="B260" s="183"/>
      <c r="C260" s="179"/>
      <c r="D260" s="133" t="s">
        <v>20</v>
      </c>
      <c r="E260" s="83">
        <f>ROUND('Lei 1.218.2024'!E260*1.0462,2)</f>
        <v>221.75</v>
      </c>
      <c r="F260" s="83">
        <f>ROUND('Lei 1.218.2024'!F260*1.0462,2)</f>
        <v>221.75</v>
      </c>
      <c r="G260" s="83">
        <f>ROUND('Lei 1.218.2024'!G260*1.0462,2)</f>
        <v>443.52</v>
      </c>
      <c r="H260" s="83">
        <f>ROUND('Lei 1.218.2024'!H260*1.0462,2)</f>
        <v>665.28</v>
      </c>
    </row>
    <row r="263" spans="2:8" x14ac:dyDescent="0.25">
      <c r="B263" t="s">
        <v>122</v>
      </c>
    </row>
    <row r="264" spans="2:8" x14ac:dyDescent="0.25">
      <c r="B264" s="179" t="s">
        <v>123</v>
      </c>
      <c r="C264" s="179"/>
      <c r="D264" s="179"/>
      <c r="E264" s="179"/>
      <c r="F264" s="179"/>
      <c r="G264" s="179"/>
      <c r="H264" s="179"/>
    </row>
    <row r="265" spans="2:8" x14ac:dyDescent="0.25">
      <c r="B265" s="180" t="s">
        <v>115</v>
      </c>
      <c r="C265" s="181" t="s">
        <v>116</v>
      </c>
      <c r="D265" s="181" t="s">
        <v>117</v>
      </c>
      <c r="E265" s="182" t="s">
        <v>106</v>
      </c>
      <c r="F265" s="182"/>
      <c r="G265" s="182"/>
      <c r="H265" s="182"/>
    </row>
    <row r="266" spans="2:8" ht="30" x14ac:dyDescent="0.25">
      <c r="B266" s="180"/>
      <c r="C266" s="181"/>
      <c r="D266" s="181"/>
      <c r="E266" s="132" t="s">
        <v>118</v>
      </c>
      <c r="F266" s="132" t="s">
        <v>107</v>
      </c>
      <c r="G266" s="132" t="s">
        <v>108</v>
      </c>
      <c r="H266" s="132" t="s">
        <v>109</v>
      </c>
    </row>
    <row r="267" spans="2:8" x14ac:dyDescent="0.25">
      <c r="B267" s="183" t="s">
        <v>124</v>
      </c>
      <c r="C267" s="179" t="s">
        <v>14</v>
      </c>
      <c r="D267" s="131" t="s">
        <v>15</v>
      </c>
      <c r="E267" s="83">
        <f>ROUND('Lei 1.218.2024'!E267*1.0462,2)</f>
        <v>134.13</v>
      </c>
      <c r="F267" s="83">
        <f>ROUND('Lei 1.218.2024'!F267*1.0462,2)</f>
        <v>134.13</v>
      </c>
      <c r="G267" s="83">
        <f>ROUND('Lei 1.218.2024'!G267*1.0462,2)</f>
        <v>268.27999999999997</v>
      </c>
      <c r="H267" s="83">
        <f>ROUND('Lei 1.218.2024'!H267*1.0462,2)</f>
        <v>402.42</v>
      </c>
    </row>
    <row r="268" spans="2:8" x14ac:dyDescent="0.25">
      <c r="B268" s="183"/>
      <c r="C268" s="179"/>
      <c r="D268" s="131" t="s">
        <v>16</v>
      </c>
      <c r="E268" s="83">
        <f>ROUND('Lei 1.218.2024'!E268*1.0462,2)</f>
        <v>136.82</v>
      </c>
      <c r="F268" s="83">
        <f>ROUND('Lei 1.218.2024'!F268*1.0462,2)</f>
        <v>136.82</v>
      </c>
      <c r="G268" s="83">
        <f>ROUND('Lei 1.218.2024'!G268*1.0462,2)</f>
        <v>273.63</v>
      </c>
      <c r="H268" s="83">
        <f>ROUND('Lei 1.218.2024'!H268*1.0462,2)</f>
        <v>410.46</v>
      </c>
    </row>
    <row r="269" spans="2:8" x14ac:dyDescent="0.25">
      <c r="B269" s="183"/>
      <c r="C269" s="179"/>
      <c r="D269" s="131" t="s">
        <v>17</v>
      </c>
      <c r="E269" s="83">
        <f>ROUND('Lei 1.218.2024'!E269*1.0462,2)</f>
        <v>139.55000000000001</v>
      </c>
      <c r="F269" s="83">
        <f>ROUND('Lei 1.218.2024'!F269*1.0462,2)</f>
        <v>139.55000000000001</v>
      </c>
      <c r="G269" s="83">
        <f>ROUND('Lei 1.218.2024'!G269*1.0462,2)</f>
        <v>279.13</v>
      </c>
      <c r="H269" s="83">
        <f>ROUND('Lei 1.218.2024'!H269*1.0462,2)</f>
        <v>418.68</v>
      </c>
    </row>
    <row r="270" spans="2:8" x14ac:dyDescent="0.25">
      <c r="B270" s="183"/>
      <c r="C270" s="179"/>
      <c r="D270" s="131" t="s">
        <v>18</v>
      </c>
      <c r="E270" s="83">
        <f>ROUND('Lei 1.218.2024'!E270*1.0462,2)</f>
        <v>142.36000000000001</v>
      </c>
      <c r="F270" s="83">
        <f>ROUND('Lei 1.218.2024'!F270*1.0462,2)</f>
        <v>142.36000000000001</v>
      </c>
      <c r="G270" s="83">
        <f>ROUND('Lei 1.218.2024'!G270*1.0462,2)</f>
        <v>284.7</v>
      </c>
      <c r="H270" s="83">
        <f>ROUND('Lei 1.218.2024'!H270*1.0462,2)</f>
        <v>427.06</v>
      </c>
    </row>
    <row r="271" spans="2:8" x14ac:dyDescent="0.25">
      <c r="B271" s="183"/>
      <c r="C271" s="179"/>
      <c r="D271" s="131" t="s">
        <v>19</v>
      </c>
      <c r="E271" s="83">
        <f>ROUND('Lei 1.218.2024'!E271*1.0462,2)</f>
        <v>145.19</v>
      </c>
      <c r="F271" s="83">
        <f>ROUND('Lei 1.218.2024'!F271*1.0462,2)</f>
        <v>145.19</v>
      </c>
      <c r="G271" s="83">
        <f>ROUND('Lei 1.218.2024'!G271*1.0462,2)</f>
        <v>290.38</v>
      </c>
      <c r="H271" s="83">
        <f>ROUND('Lei 1.218.2024'!H271*1.0462,2)</f>
        <v>435.57</v>
      </c>
    </row>
    <row r="272" spans="2:8" x14ac:dyDescent="0.25">
      <c r="B272" s="183"/>
      <c r="C272" s="179"/>
      <c r="D272" s="131" t="s">
        <v>20</v>
      </c>
      <c r="E272" s="83">
        <f>ROUND('Lei 1.218.2024'!E272*1.0462,2)</f>
        <v>148.1</v>
      </c>
      <c r="F272" s="83">
        <f>ROUND('Lei 1.218.2024'!F272*1.0462,2)</f>
        <v>148.1</v>
      </c>
      <c r="G272" s="83">
        <f>ROUND('Lei 1.218.2024'!G272*1.0462,2)</f>
        <v>296.20999999999998</v>
      </c>
      <c r="H272" s="83">
        <f>ROUND('Lei 1.218.2024'!H272*1.0462,2)</f>
        <v>444.31</v>
      </c>
    </row>
    <row r="273" spans="2:9" x14ac:dyDescent="0.25">
      <c r="B273" s="183"/>
      <c r="C273" s="183" t="s">
        <v>21</v>
      </c>
      <c r="D273" s="131" t="s">
        <v>15</v>
      </c>
      <c r="E273" s="83">
        <f>ROUND('Lei 1.218.2024'!E273*1.0462,2)</f>
        <v>151.06</v>
      </c>
      <c r="F273" s="83">
        <f>ROUND('Lei 1.218.2024'!F273*1.0462,2)</f>
        <v>151.06</v>
      </c>
      <c r="G273" s="83">
        <f>ROUND('Lei 1.218.2024'!G273*1.0462,2)</f>
        <v>302.12</v>
      </c>
      <c r="H273" s="83">
        <f>ROUND('Lei 1.218.2024'!H273*1.0462,2)</f>
        <v>453.19</v>
      </c>
    </row>
    <row r="274" spans="2:9" x14ac:dyDescent="0.25">
      <c r="B274" s="183"/>
      <c r="C274" s="183"/>
      <c r="D274" s="131" t="s">
        <v>16</v>
      </c>
      <c r="E274" s="83">
        <f>ROUND('Lei 1.218.2024'!E274*1.0462,2)</f>
        <v>154.08000000000001</v>
      </c>
      <c r="F274" s="83">
        <f>ROUND('Lei 1.218.2024'!F274*1.0462,2)</f>
        <v>154.08000000000001</v>
      </c>
      <c r="G274" s="83">
        <f>ROUND('Lei 1.218.2024'!G274*1.0462,2)</f>
        <v>308.17</v>
      </c>
      <c r="H274" s="83">
        <f>ROUND('Lei 1.218.2024'!H274*1.0462,2)</f>
        <v>462.25</v>
      </c>
    </row>
    <row r="275" spans="2:9" x14ac:dyDescent="0.25">
      <c r="B275" s="183"/>
      <c r="C275" s="183"/>
      <c r="D275" s="131" t="s">
        <v>17</v>
      </c>
      <c r="E275" s="83">
        <f>ROUND('Lei 1.218.2024'!E275*1.0462,2)</f>
        <v>157.16</v>
      </c>
      <c r="F275" s="83">
        <f>ROUND('Lei 1.218.2024'!F275*1.0462,2)</f>
        <v>157.16</v>
      </c>
      <c r="G275" s="83">
        <f>ROUND('Lei 1.218.2024'!G275*1.0462,2)</f>
        <v>314.31</v>
      </c>
      <c r="H275" s="83">
        <f>ROUND('Lei 1.218.2024'!H275*1.0462,2)</f>
        <v>471.47</v>
      </c>
    </row>
    <row r="276" spans="2:9" x14ac:dyDescent="0.25">
      <c r="B276" s="183"/>
      <c r="C276" s="183"/>
      <c r="D276" s="131" t="s">
        <v>18</v>
      </c>
      <c r="E276" s="83">
        <f>ROUND('Lei 1.218.2024'!E276*1.0462,2)</f>
        <v>160.31</v>
      </c>
      <c r="F276" s="83">
        <f>ROUND('Lei 1.218.2024'!F276*1.0462,2)</f>
        <v>160.31</v>
      </c>
      <c r="G276" s="83">
        <f>ROUND('Lei 1.218.2024'!G276*1.0462,2)</f>
        <v>320.62</v>
      </c>
      <c r="H276" s="83">
        <f>ROUND('Lei 1.218.2024'!H276*1.0462,2)</f>
        <v>480.93</v>
      </c>
    </row>
    <row r="277" spans="2:9" x14ac:dyDescent="0.25">
      <c r="B277" s="183"/>
      <c r="C277" s="183"/>
      <c r="D277" s="131" t="s">
        <v>19</v>
      </c>
      <c r="E277" s="83">
        <f>ROUND('Lei 1.218.2024'!E277*1.0462,2)</f>
        <v>163.52000000000001</v>
      </c>
      <c r="F277" s="83">
        <f>ROUND('Lei 1.218.2024'!F277*1.0462,2)</f>
        <v>163.52000000000001</v>
      </c>
      <c r="G277" s="83">
        <f>ROUND('Lei 1.218.2024'!G277*1.0462,2)</f>
        <v>327.02999999999997</v>
      </c>
      <c r="H277" s="83">
        <f>ROUND('Lei 1.218.2024'!H277*1.0462,2)</f>
        <v>490.55</v>
      </c>
    </row>
    <row r="278" spans="2:9" x14ac:dyDescent="0.25">
      <c r="B278" s="183"/>
      <c r="C278" s="183"/>
      <c r="D278" s="131" t="s">
        <v>20</v>
      </c>
      <c r="E278" s="83">
        <f>ROUND('Lei 1.218.2024'!E278*1.0462,2)</f>
        <v>166.79</v>
      </c>
      <c r="F278" s="83">
        <f>ROUND('Lei 1.218.2024'!F278*1.0462,2)</f>
        <v>166.79</v>
      </c>
      <c r="G278" s="83">
        <f>ROUND('Lei 1.218.2024'!G278*1.0462,2)</f>
        <v>333.56</v>
      </c>
      <c r="H278" s="83">
        <f>ROUND('Lei 1.218.2024'!H278*1.0462,2)</f>
        <v>500.36</v>
      </c>
    </row>
    <row r="279" spans="2:9" x14ac:dyDescent="0.25">
      <c r="B279" s="183"/>
      <c r="C279" s="179" t="s">
        <v>112</v>
      </c>
      <c r="D279" s="131" t="s">
        <v>15</v>
      </c>
      <c r="E279" s="83">
        <f>ROUND('Lei 1.218.2024'!E279*1.0462,2)</f>
        <v>170.12</v>
      </c>
      <c r="F279" s="83">
        <f>ROUND('Lei 1.218.2024'!F279*1.0462,2)</f>
        <v>170.12</v>
      </c>
      <c r="G279" s="83">
        <f>ROUND('Lei 1.218.2024'!G279*1.0462,2)</f>
        <v>340.25</v>
      </c>
      <c r="H279" s="83">
        <f>ROUND('Lei 1.218.2024'!H279*1.0462,2)</f>
        <v>510.37</v>
      </c>
    </row>
    <row r="280" spans="2:9" x14ac:dyDescent="0.25">
      <c r="B280" s="183"/>
      <c r="C280" s="179"/>
      <c r="D280" s="131" t="s">
        <v>16</v>
      </c>
      <c r="E280" s="83">
        <f>ROUND('Lei 1.218.2024'!E280*1.0462,2)</f>
        <v>173.52</v>
      </c>
      <c r="F280" s="83">
        <f>ROUND('Lei 1.218.2024'!F280*1.0462,2)</f>
        <v>173.52</v>
      </c>
      <c r="G280" s="83">
        <f>ROUND('Lei 1.218.2024'!G280*1.0462,2)</f>
        <v>347.05</v>
      </c>
      <c r="H280" s="83">
        <f>ROUND('Lei 1.218.2024'!H280*1.0462,2)</f>
        <v>520.57000000000005</v>
      </c>
    </row>
    <row r="281" spans="2:9" x14ac:dyDescent="0.25">
      <c r="B281" s="183"/>
      <c r="C281" s="179"/>
      <c r="D281" s="131" t="s">
        <v>17</v>
      </c>
      <c r="E281" s="83">
        <f>ROUND('Lei 1.218.2024'!E281*1.0462,2)</f>
        <v>176.99</v>
      </c>
      <c r="F281" s="83">
        <f>ROUND('Lei 1.218.2024'!F281*1.0462,2)</f>
        <v>176.99</v>
      </c>
      <c r="G281" s="83">
        <f>ROUND('Lei 1.218.2024'!G281*1.0462,2)</f>
        <v>353.99</v>
      </c>
      <c r="H281" s="83">
        <f>ROUND('Lei 1.218.2024'!H281*1.0462,2)</f>
        <v>530.99</v>
      </c>
    </row>
    <row r="282" spans="2:9" x14ac:dyDescent="0.25">
      <c r="B282" s="183"/>
      <c r="C282" s="179"/>
      <c r="D282" s="131" t="s">
        <v>18</v>
      </c>
      <c r="E282" s="83">
        <f>ROUND('Lei 1.218.2024'!E282*1.0462,2)</f>
        <v>180.52</v>
      </c>
      <c r="F282" s="83">
        <f>ROUND('Lei 1.218.2024'!F282*1.0462,2)</f>
        <v>180.52</v>
      </c>
      <c r="G282" s="83">
        <f>ROUND('Lei 1.218.2024'!G282*1.0462,2)</f>
        <v>361.05</v>
      </c>
      <c r="H282" s="83">
        <f>ROUND('Lei 1.218.2024'!H282*1.0462,2)</f>
        <v>541.58000000000004</v>
      </c>
    </row>
    <row r="283" spans="2:9" x14ac:dyDescent="0.25">
      <c r="B283" s="183"/>
      <c r="C283" s="179"/>
      <c r="D283" s="131" t="s">
        <v>19</v>
      </c>
      <c r="E283" s="83">
        <f>ROUND('Lei 1.218.2024'!E283*1.0462,2)</f>
        <v>184.14</v>
      </c>
      <c r="F283" s="83">
        <f>ROUND('Lei 1.218.2024'!F283*1.0462,2)</f>
        <v>184.14</v>
      </c>
      <c r="G283" s="83">
        <f>ROUND('Lei 1.218.2024'!G283*1.0462,2)</f>
        <v>368.27</v>
      </c>
      <c r="H283" s="83">
        <f>ROUND('Lei 1.218.2024'!H283*1.0462,2)</f>
        <v>552.41</v>
      </c>
    </row>
    <row r="284" spans="2:9" x14ac:dyDescent="0.25">
      <c r="B284" s="183"/>
      <c r="C284" s="179"/>
      <c r="D284" s="131" t="s">
        <v>20</v>
      </c>
      <c r="E284" s="83">
        <f>ROUND('Lei 1.218.2024'!E284*1.0462,2)</f>
        <v>187.81</v>
      </c>
      <c r="F284" s="83">
        <f>ROUND('Lei 1.218.2024'!F284*1.0462,2)</f>
        <v>187.81</v>
      </c>
      <c r="G284" s="83">
        <f>ROUND('Lei 1.218.2024'!G284*1.0462,2)</f>
        <v>375.65</v>
      </c>
      <c r="H284" s="83">
        <f>ROUND('Lei 1.218.2024'!H284*1.0462,2)</f>
        <v>563.45000000000005</v>
      </c>
    </row>
    <row r="288" spans="2:9" ht="21" x14ac:dyDescent="0.35">
      <c r="B288" s="178" t="s">
        <v>629</v>
      </c>
      <c r="C288" s="178"/>
      <c r="D288" s="178"/>
      <c r="E288" s="178"/>
      <c r="F288" s="178"/>
      <c r="G288" s="178"/>
      <c r="H288" s="178"/>
      <c r="I288" s="178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144">
        <f>ROUND('Lei 1.218.2024'!C294*1.0462,2)</f>
        <v>3530.34</v>
      </c>
      <c r="D294" s="144">
        <f>ROUND('Lei 1.218.2024'!D294*1.0462,2)</f>
        <v>1765.17</v>
      </c>
      <c r="F294" s="15"/>
      <c r="J294" s="15"/>
      <c r="K294" s="15"/>
      <c r="L294" s="15"/>
    </row>
    <row r="295" spans="2:12" x14ac:dyDescent="0.25">
      <c r="B295" s="2" t="s">
        <v>39</v>
      </c>
      <c r="C295" s="144">
        <f>ROUND('Lei 1.218.2024'!C295*1.0462,2)</f>
        <v>5707.1</v>
      </c>
      <c r="D295" s="144">
        <f>ROUND('Lei 1.218.2024'!D295*1.0462,2)</f>
        <v>2853.55</v>
      </c>
      <c r="F295" s="15"/>
      <c r="J295" s="15"/>
      <c r="K295" s="15"/>
      <c r="L295" s="15"/>
    </row>
    <row r="296" spans="2:12" x14ac:dyDescent="0.25">
      <c r="B296" s="2" t="s">
        <v>40</v>
      </c>
      <c r="C296" s="144">
        <f>ROUND('Lei 1.218.2024'!C296*1.0462,2)</f>
        <v>7092.34</v>
      </c>
      <c r="D296" s="144">
        <f>ROUND('Lei 1.218.2024'!D296*1.0462,2)</f>
        <v>3546.17</v>
      </c>
      <c r="F296" s="15"/>
      <c r="J296" s="15"/>
      <c r="K296" s="15"/>
      <c r="L296" s="15"/>
    </row>
    <row r="297" spans="2:12" x14ac:dyDescent="0.25">
      <c r="B297" s="2" t="s">
        <v>41</v>
      </c>
      <c r="C297" s="144">
        <f>ROUND('Lei 1.218.2024'!C297*1.0462,2)</f>
        <v>8081.77</v>
      </c>
      <c r="D297" s="144">
        <f>ROUND('Lei 1.218.2024'!D297*1.0462,2)</f>
        <v>4040.88</v>
      </c>
      <c r="F297" s="15"/>
      <c r="J297" s="15"/>
      <c r="K297" s="15"/>
      <c r="L297" s="15"/>
    </row>
    <row r="298" spans="2:12" x14ac:dyDescent="0.25">
      <c r="B298" s="2" t="s">
        <v>42</v>
      </c>
      <c r="C298" s="144">
        <f>ROUND('Lei 1.218.2024'!C298*1.0462,2)</f>
        <v>12039.53</v>
      </c>
      <c r="D298" s="144">
        <f>ROUND('Lei 1.218.2024'!D298*1.0462,2)</f>
        <v>6019.77</v>
      </c>
      <c r="F298" s="15"/>
      <c r="J298" s="15"/>
      <c r="K298" s="15"/>
      <c r="L298" s="15"/>
    </row>
    <row r="299" spans="2:12" x14ac:dyDescent="0.25">
      <c r="B299" s="2" t="s">
        <v>43</v>
      </c>
      <c r="C299" s="144">
        <f>ROUND('Lei 1.218.2024'!C299*1.0462,2)</f>
        <v>15420.25</v>
      </c>
      <c r="D299" s="144">
        <f>ROUND('Lei 1.218.2024'!D299*1.0462,2)</f>
        <v>7710.12</v>
      </c>
      <c r="F299" s="15"/>
      <c r="J299" s="15"/>
      <c r="K299" s="15"/>
      <c r="L299" s="15"/>
    </row>
    <row r="300" spans="2:12" x14ac:dyDescent="0.25">
      <c r="B300" s="2" t="s">
        <v>44</v>
      </c>
      <c r="C300" s="144">
        <f>ROUND('Lei 1.218.2024'!C300*1.0462,2)</f>
        <v>18259.16</v>
      </c>
      <c r="D300" s="144">
        <f>ROUND('Lei 1.218.2024'!D300*1.0462,2)</f>
        <v>9129.58</v>
      </c>
      <c r="F300" s="15"/>
      <c r="J300" s="15"/>
      <c r="K300" s="15"/>
      <c r="L300" s="15"/>
    </row>
    <row r="301" spans="2:12" x14ac:dyDescent="0.25">
      <c r="B301" s="2" t="s">
        <v>45</v>
      </c>
      <c r="C301" s="144">
        <f>ROUND('Lei 1.218.2024'!C301*1.0462,2)</f>
        <v>25538.799999999999</v>
      </c>
      <c r="D301" s="144">
        <f>ROUND('Lei 1.218.2024'!D301*1.0462,2)</f>
        <v>12769.39</v>
      </c>
      <c r="F301" s="15"/>
      <c r="J301" s="15"/>
      <c r="K301" s="15"/>
      <c r="L301" s="15"/>
    </row>
    <row r="302" spans="2:12" x14ac:dyDescent="0.25">
      <c r="B302" s="2" t="s">
        <v>605</v>
      </c>
      <c r="C302" s="144">
        <f>ROUND('Lei 1.218.2024'!C302*1.0462,2)</f>
        <v>27631.200000000001</v>
      </c>
      <c r="D302" s="144">
        <f>ROUND('Lei 1.218.2024'!D302*1.0462,2)</f>
        <v>13815.59</v>
      </c>
      <c r="F302" s="15"/>
      <c r="J302" s="15"/>
      <c r="K302" s="15"/>
      <c r="L302" s="15"/>
    </row>
  </sheetData>
  <mergeCells count="156">
    <mergeCell ref="B12:D12"/>
    <mergeCell ref="B14:B15"/>
    <mergeCell ref="C14:E14"/>
    <mergeCell ref="C15:E15"/>
    <mergeCell ref="B16:D16"/>
    <mergeCell ref="B18:C18"/>
    <mergeCell ref="B2:I2"/>
    <mergeCell ref="B5:C5"/>
    <mergeCell ref="B6:C6"/>
    <mergeCell ref="B7:C7"/>
    <mergeCell ref="B10:B11"/>
    <mergeCell ref="C10:E10"/>
    <mergeCell ref="C11:E11"/>
    <mergeCell ref="B33:B38"/>
    <mergeCell ref="B39:B44"/>
    <mergeCell ref="B45:B50"/>
    <mergeCell ref="B52:I52"/>
    <mergeCell ref="B54:I54"/>
    <mergeCell ref="B55:C56"/>
    <mergeCell ref="F55:G55"/>
    <mergeCell ref="H55:I55"/>
    <mergeCell ref="B19:C19"/>
    <mergeCell ref="B24:I24"/>
    <mergeCell ref="B27:I27"/>
    <mergeCell ref="B29:I29"/>
    <mergeCell ref="B30:C31"/>
    <mergeCell ref="D30:F30"/>
    <mergeCell ref="G30:H30"/>
    <mergeCell ref="B83:B88"/>
    <mergeCell ref="B89:B94"/>
    <mergeCell ref="B95:B100"/>
    <mergeCell ref="B103:G103"/>
    <mergeCell ref="B105:F105"/>
    <mergeCell ref="B106:C107"/>
    <mergeCell ref="D106:F106"/>
    <mergeCell ref="B58:B63"/>
    <mergeCell ref="B64:B69"/>
    <mergeCell ref="B70:B75"/>
    <mergeCell ref="B77:I77"/>
    <mergeCell ref="B79:G79"/>
    <mergeCell ref="B80:C81"/>
    <mergeCell ref="F80:G80"/>
    <mergeCell ref="B135:C135"/>
    <mergeCell ref="D135:G135"/>
    <mergeCell ref="H135:J135"/>
    <mergeCell ref="K135:N135"/>
    <mergeCell ref="B136:C136"/>
    <mergeCell ref="D136:G136"/>
    <mergeCell ref="H136:J136"/>
    <mergeCell ref="K136:N136"/>
    <mergeCell ref="B109:B114"/>
    <mergeCell ref="B115:B120"/>
    <mergeCell ref="B121:B126"/>
    <mergeCell ref="B130:N130"/>
    <mergeCell ref="B134:C134"/>
    <mergeCell ref="D134:G134"/>
    <mergeCell ref="H134:J134"/>
    <mergeCell ref="K134:N134"/>
    <mergeCell ref="B139:C139"/>
    <mergeCell ref="D139:G139"/>
    <mergeCell ref="H139:J139"/>
    <mergeCell ref="K139:N139"/>
    <mergeCell ref="B140:C140"/>
    <mergeCell ref="D140:G140"/>
    <mergeCell ref="H140:J140"/>
    <mergeCell ref="K140:N140"/>
    <mergeCell ref="B137:C137"/>
    <mergeCell ref="D137:G137"/>
    <mergeCell ref="H137:J137"/>
    <mergeCell ref="K137:N137"/>
    <mergeCell ref="B138:C138"/>
    <mergeCell ref="D138:G138"/>
    <mergeCell ref="H138:J138"/>
    <mergeCell ref="K138:N138"/>
    <mergeCell ref="B143:C143"/>
    <mergeCell ref="D143:G143"/>
    <mergeCell ref="H143:J143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B147:C147"/>
    <mergeCell ref="D147:G147"/>
    <mergeCell ref="H147:J147"/>
    <mergeCell ref="K147:N147"/>
    <mergeCell ref="B148:C148"/>
    <mergeCell ref="D148:G148"/>
    <mergeCell ref="H148:J148"/>
    <mergeCell ref="K148:N148"/>
    <mergeCell ref="B145:C145"/>
    <mergeCell ref="D145:G145"/>
    <mergeCell ref="H145:J145"/>
    <mergeCell ref="K145:N145"/>
    <mergeCell ref="B146:C146"/>
    <mergeCell ref="D146:G146"/>
    <mergeCell ref="H146:J146"/>
    <mergeCell ref="K146:N146"/>
    <mergeCell ref="B165:C165"/>
    <mergeCell ref="B166:C166"/>
    <mergeCell ref="B167:C167"/>
    <mergeCell ref="B168:C168"/>
    <mergeCell ref="E174:G174"/>
    <mergeCell ref="C176:C181"/>
    <mergeCell ref="B153:I153"/>
    <mergeCell ref="B159:C160"/>
    <mergeCell ref="B161:C161"/>
    <mergeCell ref="B162:C162"/>
    <mergeCell ref="B163:C163"/>
    <mergeCell ref="B164:C164"/>
    <mergeCell ref="B202:B219"/>
    <mergeCell ref="C202:C207"/>
    <mergeCell ref="C208:C213"/>
    <mergeCell ref="C214:C219"/>
    <mergeCell ref="B220:B221"/>
    <mergeCell ref="C220:C221"/>
    <mergeCell ref="C182:C187"/>
    <mergeCell ref="C188:C193"/>
    <mergeCell ref="B199:H199"/>
    <mergeCell ref="B200:B201"/>
    <mergeCell ref="C200:C201"/>
    <mergeCell ref="D200:D201"/>
    <mergeCell ref="E200:H200"/>
    <mergeCell ref="B176:B193"/>
    <mergeCell ref="B241:B242"/>
    <mergeCell ref="C241:C242"/>
    <mergeCell ref="D241:D242"/>
    <mergeCell ref="E241:H241"/>
    <mergeCell ref="D220:D221"/>
    <mergeCell ref="E220:H220"/>
    <mergeCell ref="C222:C227"/>
    <mergeCell ref="C228:C233"/>
    <mergeCell ref="C234:C239"/>
    <mergeCell ref="B222:B239"/>
    <mergeCell ref="B267:B284"/>
    <mergeCell ref="C267:C272"/>
    <mergeCell ref="C273:C278"/>
    <mergeCell ref="C279:C284"/>
    <mergeCell ref="B288:I288"/>
    <mergeCell ref="B243:B260"/>
    <mergeCell ref="C243:C248"/>
    <mergeCell ref="C249:C254"/>
    <mergeCell ref="C255:C260"/>
    <mergeCell ref="B264:H264"/>
    <mergeCell ref="B265:B266"/>
    <mergeCell ref="C265:C266"/>
    <mergeCell ref="D265:D266"/>
    <mergeCell ref="E265:H26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5"/>
  <sheetViews>
    <sheetView workbookViewId="0">
      <selection activeCell="G11" sqref="G11"/>
    </sheetView>
  </sheetViews>
  <sheetFormatPr defaultRowHeight="15" x14ac:dyDescent="0.25"/>
  <cols>
    <col min="1" max="1" width="6" style="105" customWidth="1"/>
    <col min="2" max="2" width="32.42578125" style="105" customWidth="1"/>
    <col min="3" max="3" width="54" style="105" customWidth="1"/>
    <col min="4" max="4" width="8.140625" style="105" customWidth="1"/>
    <col min="5" max="5" width="6.7109375" style="105" customWidth="1"/>
    <col min="6" max="6" width="25.7109375" style="105" customWidth="1"/>
    <col min="7" max="7" width="29.7109375" style="105" customWidth="1"/>
    <col min="8" max="16384" width="9.140625" style="105"/>
  </cols>
  <sheetData>
    <row r="1" spans="1:7" x14ac:dyDescent="0.25">
      <c r="A1" s="249" t="s">
        <v>139</v>
      </c>
      <c r="B1" s="250"/>
      <c r="C1" s="250"/>
      <c r="D1" s="250"/>
      <c r="E1" s="250"/>
      <c r="F1" s="250"/>
      <c r="G1" s="250"/>
    </row>
    <row r="2" spans="1:7" x14ac:dyDescent="0.25">
      <c r="A2" s="154" t="s">
        <v>140</v>
      </c>
      <c r="B2" s="154" t="s">
        <v>141</v>
      </c>
      <c r="C2" s="154" t="s">
        <v>142</v>
      </c>
      <c r="D2" s="154" t="s">
        <v>104</v>
      </c>
      <c r="E2" s="154" t="s">
        <v>143</v>
      </c>
      <c r="F2" s="154" t="s">
        <v>144</v>
      </c>
      <c r="G2" s="154" t="s">
        <v>129</v>
      </c>
    </row>
    <row r="3" spans="1:7" x14ac:dyDescent="0.25">
      <c r="A3" s="106">
        <v>58</v>
      </c>
      <c r="B3" s="105" t="s">
        <v>145</v>
      </c>
      <c r="C3" s="105" t="s">
        <v>146</v>
      </c>
      <c r="D3" s="105" t="s">
        <v>16</v>
      </c>
      <c r="E3" s="106">
        <v>1</v>
      </c>
      <c r="F3" s="105" t="s">
        <v>147</v>
      </c>
      <c r="G3" s="105" t="s">
        <v>148</v>
      </c>
    </row>
    <row r="4" spans="1:7" x14ac:dyDescent="0.25">
      <c r="A4" s="106">
        <v>2447</v>
      </c>
      <c r="B4" s="105" t="s">
        <v>149</v>
      </c>
      <c r="C4" s="105" t="s">
        <v>150</v>
      </c>
      <c r="D4" s="105" t="s">
        <v>151</v>
      </c>
      <c r="E4" s="106">
        <v>1</v>
      </c>
      <c r="F4" s="105" t="s">
        <v>388</v>
      </c>
      <c r="G4" s="105" t="s">
        <v>389</v>
      </c>
    </row>
    <row r="5" spans="1:7" x14ac:dyDescent="0.25">
      <c r="A5" s="106">
        <v>2448</v>
      </c>
      <c r="B5" s="105" t="s">
        <v>149</v>
      </c>
      <c r="C5" s="105" t="s">
        <v>150</v>
      </c>
      <c r="D5" s="105" t="s">
        <v>151</v>
      </c>
      <c r="E5" s="106">
        <v>2</v>
      </c>
      <c r="F5" s="105" t="s">
        <v>390</v>
      </c>
      <c r="G5" s="105" t="s">
        <v>391</v>
      </c>
    </row>
    <row r="6" spans="1:7" x14ac:dyDescent="0.25">
      <c r="A6" s="106">
        <v>2449</v>
      </c>
      <c r="B6" s="105" t="s">
        <v>149</v>
      </c>
      <c r="C6" s="105" t="s">
        <v>150</v>
      </c>
      <c r="D6" s="105" t="s">
        <v>151</v>
      </c>
      <c r="E6" s="106">
        <v>3</v>
      </c>
      <c r="F6" s="105" t="s">
        <v>392</v>
      </c>
      <c r="G6" s="105" t="s">
        <v>393</v>
      </c>
    </row>
    <row r="7" spans="1:7" x14ac:dyDescent="0.25">
      <c r="A7" s="106">
        <v>2450</v>
      </c>
      <c r="B7" s="105" t="s">
        <v>149</v>
      </c>
      <c r="C7" s="105" t="s">
        <v>150</v>
      </c>
      <c r="D7" s="105" t="s">
        <v>151</v>
      </c>
      <c r="E7" s="106">
        <v>4</v>
      </c>
      <c r="F7" s="105" t="s">
        <v>394</v>
      </c>
      <c r="G7" s="105" t="s">
        <v>395</v>
      </c>
    </row>
    <row r="8" spans="1:7" x14ac:dyDescent="0.25">
      <c r="A8" s="106">
        <v>2451</v>
      </c>
      <c r="B8" s="105" t="s">
        <v>149</v>
      </c>
      <c r="C8" s="105" t="s">
        <v>150</v>
      </c>
      <c r="D8" s="105" t="s">
        <v>151</v>
      </c>
      <c r="E8" s="106">
        <v>5</v>
      </c>
      <c r="F8" s="105" t="s">
        <v>396</v>
      </c>
      <c r="G8" s="105" t="s">
        <v>397</v>
      </c>
    </row>
    <row r="9" spans="1:7" x14ac:dyDescent="0.25">
      <c r="A9" s="106">
        <v>2445</v>
      </c>
      <c r="B9" s="105" t="s">
        <v>149</v>
      </c>
      <c r="C9" s="105" t="s">
        <v>150</v>
      </c>
      <c r="D9" s="105" t="s">
        <v>151</v>
      </c>
      <c r="E9" s="106">
        <v>6</v>
      </c>
      <c r="F9" s="105" t="s">
        <v>398</v>
      </c>
      <c r="G9" s="105" t="s">
        <v>399</v>
      </c>
    </row>
    <row r="10" spans="1:7" x14ac:dyDescent="0.25">
      <c r="A10" s="106">
        <v>2452</v>
      </c>
      <c r="B10" s="105" t="s">
        <v>149</v>
      </c>
      <c r="C10" s="105" t="s">
        <v>150</v>
      </c>
      <c r="D10" s="105" t="s">
        <v>151</v>
      </c>
      <c r="E10" s="106">
        <v>7</v>
      </c>
      <c r="F10" s="105" t="s">
        <v>400</v>
      </c>
      <c r="G10" s="105" t="s">
        <v>401</v>
      </c>
    </row>
    <row r="11" spans="1:7" x14ac:dyDescent="0.25">
      <c r="A11" s="106">
        <v>2446</v>
      </c>
      <c r="B11" s="105" t="s">
        <v>149</v>
      </c>
      <c r="C11" s="105" t="s">
        <v>150</v>
      </c>
      <c r="D11" s="105" t="s">
        <v>151</v>
      </c>
      <c r="E11" s="106">
        <v>8</v>
      </c>
      <c r="F11" s="105" t="s">
        <v>402</v>
      </c>
      <c r="G11" s="105" t="s">
        <v>403</v>
      </c>
    </row>
    <row r="12" spans="1:7" x14ac:dyDescent="0.25">
      <c r="A12" s="106">
        <v>1759</v>
      </c>
      <c r="B12" s="105" t="s">
        <v>404</v>
      </c>
      <c r="C12" s="105" t="s">
        <v>176</v>
      </c>
      <c r="D12" s="105" t="s">
        <v>173</v>
      </c>
      <c r="E12" s="106">
        <v>1</v>
      </c>
      <c r="F12" s="105" t="s">
        <v>177</v>
      </c>
      <c r="G12" s="105" t="s">
        <v>148</v>
      </c>
    </row>
    <row r="13" spans="1:7" x14ac:dyDescent="0.25">
      <c r="A13" s="106">
        <v>1841</v>
      </c>
      <c r="B13" s="105" t="s">
        <v>168</v>
      </c>
      <c r="C13" s="105" t="s">
        <v>169</v>
      </c>
      <c r="D13" s="105" t="s">
        <v>131</v>
      </c>
      <c r="E13" s="106">
        <v>1</v>
      </c>
      <c r="F13" s="105" t="s">
        <v>148</v>
      </c>
      <c r="G13" s="105" t="s">
        <v>405</v>
      </c>
    </row>
    <row r="14" spans="1:7" x14ac:dyDescent="0.25">
      <c r="A14" s="106">
        <v>1913</v>
      </c>
      <c r="B14" s="105" t="s">
        <v>168</v>
      </c>
      <c r="C14" s="105" t="s">
        <v>169</v>
      </c>
      <c r="D14" s="105" t="s">
        <v>131</v>
      </c>
      <c r="E14" s="106">
        <v>2</v>
      </c>
      <c r="F14" s="105" t="s">
        <v>148</v>
      </c>
      <c r="G14" s="105" t="s">
        <v>406</v>
      </c>
    </row>
    <row r="15" spans="1:7" x14ac:dyDescent="0.25">
      <c r="A15" s="106">
        <v>2777</v>
      </c>
      <c r="B15" s="105" t="s">
        <v>168</v>
      </c>
      <c r="C15" s="105" t="s">
        <v>169</v>
      </c>
      <c r="D15" s="105" t="s">
        <v>131</v>
      </c>
      <c r="E15" s="106">
        <v>3</v>
      </c>
      <c r="F15" s="105" t="s">
        <v>148</v>
      </c>
      <c r="G15" s="105" t="s">
        <v>395</v>
      </c>
    </row>
    <row r="16" spans="1:7" x14ac:dyDescent="0.25">
      <c r="A16" s="106">
        <v>2438</v>
      </c>
      <c r="B16" s="105" t="s">
        <v>168</v>
      </c>
      <c r="C16" s="105" t="s">
        <v>130</v>
      </c>
      <c r="D16" s="105" t="s">
        <v>131</v>
      </c>
      <c r="E16" s="106">
        <v>20</v>
      </c>
      <c r="F16" s="105" t="s">
        <v>407</v>
      </c>
      <c r="G16" s="105" t="s">
        <v>408</v>
      </c>
    </row>
    <row r="17" spans="1:7" x14ac:dyDescent="0.25">
      <c r="A17" s="106">
        <v>2441</v>
      </c>
      <c r="B17" s="105" t="s">
        <v>168</v>
      </c>
      <c r="C17" s="105" t="s">
        <v>130</v>
      </c>
      <c r="D17" s="105" t="s">
        <v>131</v>
      </c>
      <c r="E17" s="106">
        <v>25</v>
      </c>
      <c r="F17" s="105" t="s">
        <v>407</v>
      </c>
      <c r="G17" s="105" t="s">
        <v>409</v>
      </c>
    </row>
    <row r="18" spans="1:7" x14ac:dyDescent="0.25">
      <c r="A18" s="106">
        <v>2432</v>
      </c>
      <c r="B18" s="105" t="s">
        <v>171</v>
      </c>
      <c r="C18" s="105" t="s">
        <v>172</v>
      </c>
      <c r="D18" s="105" t="s">
        <v>173</v>
      </c>
      <c r="E18" s="106">
        <v>1</v>
      </c>
      <c r="F18" s="105" t="s">
        <v>407</v>
      </c>
      <c r="G18" s="105" t="s">
        <v>148</v>
      </c>
    </row>
    <row r="19" spans="1:7" x14ac:dyDescent="0.25">
      <c r="A19" s="106">
        <v>2434</v>
      </c>
      <c r="B19" s="105" t="s">
        <v>171</v>
      </c>
      <c r="C19" s="105" t="s">
        <v>175</v>
      </c>
      <c r="D19" s="105" t="s">
        <v>173</v>
      </c>
      <c r="E19" s="106">
        <v>1</v>
      </c>
      <c r="F19" s="105" t="s">
        <v>407</v>
      </c>
      <c r="G19" s="105" t="s">
        <v>148</v>
      </c>
    </row>
    <row r="20" spans="1:7" x14ac:dyDescent="0.25">
      <c r="A20" s="106">
        <v>61</v>
      </c>
      <c r="B20" s="105" t="s">
        <v>171</v>
      </c>
      <c r="C20" s="105" t="s">
        <v>178</v>
      </c>
      <c r="D20" s="105" t="s">
        <v>173</v>
      </c>
      <c r="E20" s="106">
        <v>1</v>
      </c>
      <c r="F20" s="105" t="s">
        <v>179</v>
      </c>
      <c r="G20" s="105" t="s">
        <v>148</v>
      </c>
    </row>
    <row r="21" spans="1:7" x14ac:dyDescent="0.25">
      <c r="A21" s="106">
        <v>2436</v>
      </c>
      <c r="B21" s="105" t="s">
        <v>171</v>
      </c>
      <c r="C21" s="105" t="s">
        <v>180</v>
      </c>
      <c r="D21" s="105" t="s">
        <v>173</v>
      </c>
      <c r="E21" s="106">
        <v>1</v>
      </c>
      <c r="F21" s="105" t="s">
        <v>410</v>
      </c>
      <c r="G21" s="105" t="s">
        <v>148</v>
      </c>
    </row>
    <row r="22" spans="1:7" x14ac:dyDescent="0.25">
      <c r="A22" s="106">
        <v>2453</v>
      </c>
      <c r="B22" s="105" t="s">
        <v>181</v>
      </c>
      <c r="C22" s="105" t="s">
        <v>182</v>
      </c>
      <c r="D22" s="105" t="s">
        <v>14</v>
      </c>
      <c r="E22" s="105" t="s">
        <v>15</v>
      </c>
      <c r="F22" s="105" t="s">
        <v>411</v>
      </c>
      <c r="G22" s="105" t="s">
        <v>148</v>
      </c>
    </row>
    <row r="23" spans="1:7" x14ac:dyDescent="0.25">
      <c r="A23" s="106">
        <v>2492</v>
      </c>
      <c r="B23" s="105" t="s">
        <v>181</v>
      </c>
      <c r="C23" s="105" t="s">
        <v>182</v>
      </c>
      <c r="D23" s="105" t="s">
        <v>14</v>
      </c>
      <c r="E23" s="105" t="s">
        <v>16</v>
      </c>
      <c r="F23" s="105" t="s">
        <v>412</v>
      </c>
      <c r="G23" s="105" t="s">
        <v>148</v>
      </c>
    </row>
    <row r="24" spans="1:7" x14ac:dyDescent="0.25">
      <c r="A24" s="106">
        <v>2531</v>
      </c>
      <c r="B24" s="105" t="s">
        <v>181</v>
      </c>
      <c r="C24" s="105" t="s">
        <v>182</v>
      </c>
      <c r="D24" s="105" t="s">
        <v>14</v>
      </c>
      <c r="E24" s="105" t="s">
        <v>17</v>
      </c>
      <c r="F24" s="105" t="s">
        <v>413</v>
      </c>
      <c r="G24" s="105" t="s">
        <v>148</v>
      </c>
    </row>
    <row r="25" spans="1:7" x14ac:dyDescent="0.25">
      <c r="A25" s="106">
        <v>2570</v>
      </c>
      <c r="B25" s="105" t="s">
        <v>181</v>
      </c>
      <c r="C25" s="105" t="s">
        <v>182</v>
      </c>
      <c r="D25" s="105" t="s">
        <v>14</v>
      </c>
      <c r="E25" s="105" t="s">
        <v>18</v>
      </c>
      <c r="F25" s="105" t="s">
        <v>414</v>
      </c>
      <c r="G25" s="105" t="s">
        <v>148</v>
      </c>
    </row>
    <row r="26" spans="1:7" x14ac:dyDescent="0.25">
      <c r="A26" s="106">
        <v>2610</v>
      </c>
      <c r="B26" s="105" t="s">
        <v>181</v>
      </c>
      <c r="C26" s="105" t="s">
        <v>182</v>
      </c>
      <c r="D26" s="105" t="s">
        <v>14</v>
      </c>
      <c r="E26" s="105" t="s">
        <v>19</v>
      </c>
      <c r="F26" s="105" t="s">
        <v>415</v>
      </c>
      <c r="G26" s="105" t="s">
        <v>148</v>
      </c>
    </row>
    <row r="27" spans="1:7" x14ac:dyDescent="0.25">
      <c r="A27" s="106">
        <v>2649</v>
      </c>
      <c r="B27" s="105" t="s">
        <v>181</v>
      </c>
      <c r="C27" s="105" t="s">
        <v>182</v>
      </c>
      <c r="D27" s="105" t="s">
        <v>14</v>
      </c>
      <c r="E27" s="105" t="s">
        <v>20</v>
      </c>
      <c r="F27" s="105" t="s">
        <v>416</v>
      </c>
      <c r="G27" s="105" t="s">
        <v>148</v>
      </c>
    </row>
    <row r="28" spans="1:7" x14ac:dyDescent="0.25">
      <c r="A28" s="106">
        <v>2709</v>
      </c>
      <c r="B28" s="105" t="s">
        <v>181</v>
      </c>
      <c r="C28" s="105" t="s">
        <v>182</v>
      </c>
      <c r="D28" s="105" t="s">
        <v>14</v>
      </c>
      <c r="E28" s="105" t="s">
        <v>189</v>
      </c>
      <c r="F28" s="105" t="s">
        <v>417</v>
      </c>
      <c r="G28" s="105" t="s">
        <v>148</v>
      </c>
    </row>
    <row r="29" spans="1:7" x14ac:dyDescent="0.25">
      <c r="A29" s="106">
        <v>2731</v>
      </c>
      <c r="B29" s="105" t="s">
        <v>181</v>
      </c>
      <c r="C29" s="105" t="s">
        <v>182</v>
      </c>
      <c r="D29" s="105" t="s">
        <v>14</v>
      </c>
      <c r="E29" s="105" t="s">
        <v>191</v>
      </c>
      <c r="F29" s="105" t="s">
        <v>418</v>
      </c>
      <c r="G29" s="105" t="s">
        <v>148</v>
      </c>
    </row>
    <row r="30" spans="1:7" x14ac:dyDescent="0.25">
      <c r="A30" s="106">
        <v>2753</v>
      </c>
      <c r="B30" s="105" t="s">
        <v>181</v>
      </c>
      <c r="C30" s="105" t="s">
        <v>182</v>
      </c>
      <c r="D30" s="105" t="s">
        <v>14</v>
      </c>
      <c r="E30" s="105" t="s">
        <v>14</v>
      </c>
      <c r="F30" s="105" t="s">
        <v>419</v>
      </c>
      <c r="G30" s="105" t="s">
        <v>148</v>
      </c>
    </row>
    <row r="31" spans="1:7" x14ac:dyDescent="0.25">
      <c r="A31" s="106">
        <v>2463</v>
      </c>
      <c r="B31" s="105" t="s">
        <v>181</v>
      </c>
      <c r="C31" s="105" t="s">
        <v>182</v>
      </c>
      <c r="D31" s="105" t="s">
        <v>21</v>
      </c>
      <c r="E31" s="105" t="s">
        <v>15</v>
      </c>
      <c r="F31" s="105" t="s">
        <v>420</v>
      </c>
      <c r="G31" s="105" t="s">
        <v>148</v>
      </c>
    </row>
    <row r="32" spans="1:7" x14ac:dyDescent="0.25">
      <c r="A32" s="106">
        <v>2502</v>
      </c>
      <c r="B32" s="105" t="s">
        <v>181</v>
      </c>
      <c r="C32" s="105" t="s">
        <v>182</v>
      </c>
      <c r="D32" s="105" t="s">
        <v>21</v>
      </c>
      <c r="E32" s="105" t="s">
        <v>16</v>
      </c>
      <c r="F32" s="105" t="s">
        <v>421</v>
      </c>
      <c r="G32" s="105" t="s">
        <v>148</v>
      </c>
    </row>
    <row r="33" spans="1:7" x14ac:dyDescent="0.25">
      <c r="A33" s="106">
        <v>2541</v>
      </c>
      <c r="B33" s="105" t="s">
        <v>181</v>
      </c>
      <c r="C33" s="105" t="s">
        <v>182</v>
      </c>
      <c r="D33" s="105" t="s">
        <v>21</v>
      </c>
      <c r="E33" s="105" t="s">
        <v>17</v>
      </c>
      <c r="F33" s="105" t="s">
        <v>422</v>
      </c>
      <c r="G33" s="105" t="s">
        <v>148</v>
      </c>
    </row>
    <row r="34" spans="1:7" x14ac:dyDescent="0.25">
      <c r="A34" s="106">
        <v>2580</v>
      </c>
      <c r="B34" s="105" t="s">
        <v>181</v>
      </c>
      <c r="C34" s="105" t="s">
        <v>182</v>
      </c>
      <c r="D34" s="105" t="s">
        <v>21</v>
      </c>
      <c r="E34" s="105" t="s">
        <v>18</v>
      </c>
      <c r="F34" s="105" t="s">
        <v>423</v>
      </c>
      <c r="G34" s="105" t="s">
        <v>148</v>
      </c>
    </row>
    <row r="35" spans="1:7" x14ac:dyDescent="0.25">
      <c r="A35" s="106">
        <v>2620</v>
      </c>
      <c r="B35" s="105" t="s">
        <v>181</v>
      </c>
      <c r="C35" s="105" t="s">
        <v>182</v>
      </c>
      <c r="D35" s="105" t="s">
        <v>21</v>
      </c>
      <c r="E35" s="105" t="s">
        <v>19</v>
      </c>
      <c r="F35" s="105" t="s">
        <v>424</v>
      </c>
      <c r="G35" s="105" t="s">
        <v>148</v>
      </c>
    </row>
    <row r="36" spans="1:7" x14ac:dyDescent="0.25">
      <c r="A36" s="106">
        <v>2659</v>
      </c>
      <c r="B36" s="105" t="s">
        <v>181</v>
      </c>
      <c r="C36" s="105" t="s">
        <v>182</v>
      </c>
      <c r="D36" s="105" t="s">
        <v>21</v>
      </c>
      <c r="E36" s="105" t="s">
        <v>20</v>
      </c>
      <c r="F36" s="105" t="s">
        <v>425</v>
      </c>
      <c r="G36" s="105" t="s">
        <v>148</v>
      </c>
    </row>
    <row r="37" spans="1:7" x14ac:dyDescent="0.25">
      <c r="A37" s="106">
        <v>2720</v>
      </c>
      <c r="B37" s="105" t="s">
        <v>181</v>
      </c>
      <c r="C37" s="105" t="s">
        <v>182</v>
      </c>
      <c r="D37" s="105" t="s">
        <v>21</v>
      </c>
      <c r="E37" s="105" t="s">
        <v>189</v>
      </c>
      <c r="F37" s="105" t="s">
        <v>426</v>
      </c>
      <c r="G37" s="105" t="s">
        <v>148</v>
      </c>
    </row>
    <row r="38" spans="1:7" x14ac:dyDescent="0.25">
      <c r="A38" s="106">
        <v>2742</v>
      </c>
      <c r="B38" s="105" t="s">
        <v>181</v>
      </c>
      <c r="C38" s="105" t="s">
        <v>182</v>
      </c>
      <c r="D38" s="105" t="s">
        <v>21</v>
      </c>
      <c r="E38" s="105" t="s">
        <v>191</v>
      </c>
      <c r="F38" s="105" t="s">
        <v>427</v>
      </c>
      <c r="G38" s="105" t="s">
        <v>148</v>
      </c>
    </row>
    <row r="39" spans="1:7" x14ac:dyDescent="0.25">
      <c r="A39" s="106">
        <v>2764</v>
      </c>
      <c r="B39" s="105" t="s">
        <v>181</v>
      </c>
      <c r="C39" s="105" t="s">
        <v>182</v>
      </c>
      <c r="D39" s="105" t="s">
        <v>21</v>
      </c>
      <c r="E39" s="105" t="s">
        <v>14</v>
      </c>
      <c r="F39" s="105" t="s">
        <v>428</v>
      </c>
      <c r="G39" s="105" t="s">
        <v>148</v>
      </c>
    </row>
    <row r="40" spans="1:7" x14ac:dyDescent="0.25">
      <c r="A40" s="106">
        <v>2473</v>
      </c>
      <c r="B40" s="105" t="s">
        <v>181</v>
      </c>
      <c r="C40" s="105" t="s">
        <v>182</v>
      </c>
      <c r="D40" s="105" t="s">
        <v>203</v>
      </c>
      <c r="E40" s="105" t="s">
        <v>15</v>
      </c>
      <c r="F40" s="105" t="s">
        <v>429</v>
      </c>
      <c r="G40" s="105" t="s">
        <v>148</v>
      </c>
    </row>
    <row r="41" spans="1:7" x14ac:dyDescent="0.25">
      <c r="A41" s="106">
        <v>2485</v>
      </c>
      <c r="B41" s="105" t="s">
        <v>181</v>
      </c>
      <c r="C41" s="105" t="s">
        <v>182</v>
      </c>
      <c r="D41" s="105" t="s">
        <v>203</v>
      </c>
      <c r="E41" s="105" t="s">
        <v>205</v>
      </c>
      <c r="F41" s="105" t="s">
        <v>430</v>
      </c>
      <c r="G41" s="105" t="s">
        <v>148</v>
      </c>
    </row>
    <row r="42" spans="1:7" x14ac:dyDescent="0.25">
      <c r="A42" s="106">
        <v>2487</v>
      </c>
      <c r="B42" s="105" t="s">
        <v>181</v>
      </c>
      <c r="C42" s="105" t="s">
        <v>182</v>
      </c>
      <c r="D42" s="105" t="s">
        <v>203</v>
      </c>
      <c r="E42" s="105" t="s">
        <v>207</v>
      </c>
      <c r="F42" s="105" t="s">
        <v>431</v>
      </c>
      <c r="G42" s="105" t="s">
        <v>148</v>
      </c>
    </row>
    <row r="43" spans="1:7" x14ac:dyDescent="0.25">
      <c r="A43" s="106">
        <v>2512</v>
      </c>
      <c r="B43" s="105" t="s">
        <v>181</v>
      </c>
      <c r="C43" s="105" t="s">
        <v>182</v>
      </c>
      <c r="D43" s="105" t="s">
        <v>203</v>
      </c>
      <c r="E43" s="105" t="s">
        <v>16</v>
      </c>
      <c r="F43" s="105" t="s">
        <v>432</v>
      </c>
      <c r="G43" s="105" t="s">
        <v>148</v>
      </c>
    </row>
    <row r="44" spans="1:7" x14ac:dyDescent="0.25">
      <c r="A44" s="106">
        <v>2524</v>
      </c>
      <c r="B44" s="105" t="s">
        <v>181</v>
      </c>
      <c r="C44" s="105" t="s">
        <v>182</v>
      </c>
      <c r="D44" s="105" t="s">
        <v>203</v>
      </c>
      <c r="E44" s="105" t="s">
        <v>210</v>
      </c>
      <c r="F44" s="105" t="s">
        <v>433</v>
      </c>
      <c r="G44" s="105" t="s">
        <v>148</v>
      </c>
    </row>
    <row r="45" spans="1:7" x14ac:dyDescent="0.25">
      <c r="A45" s="106">
        <v>2526</v>
      </c>
      <c r="B45" s="105" t="s">
        <v>181</v>
      </c>
      <c r="C45" s="105" t="s">
        <v>182</v>
      </c>
      <c r="D45" s="105" t="s">
        <v>203</v>
      </c>
      <c r="E45" s="105" t="s">
        <v>212</v>
      </c>
      <c r="F45" s="105" t="s">
        <v>434</v>
      </c>
      <c r="G45" s="105" t="s">
        <v>148</v>
      </c>
    </row>
    <row r="46" spans="1:7" x14ac:dyDescent="0.25">
      <c r="A46" s="106">
        <v>2551</v>
      </c>
      <c r="B46" s="105" t="s">
        <v>181</v>
      </c>
      <c r="C46" s="105" t="s">
        <v>182</v>
      </c>
      <c r="D46" s="105" t="s">
        <v>203</v>
      </c>
      <c r="E46" s="105" t="s">
        <v>17</v>
      </c>
      <c r="F46" s="105" t="s">
        <v>435</v>
      </c>
      <c r="G46" s="105" t="s">
        <v>148</v>
      </c>
    </row>
    <row r="47" spans="1:7" x14ac:dyDescent="0.25">
      <c r="A47" s="106">
        <v>2563</v>
      </c>
      <c r="B47" s="105" t="s">
        <v>181</v>
      </c>
      <c r="C47" s="105" t="s">
        <v>182</v>
      </c>
      <c r="D47" s="105" t="s">
        <v>203</v>
      </c>
      <c r="E47" s="105" t="s">
        <v>215</v>
      </c>
      <c r="F47" s="105" t="s">
        <v>436</v>
      </c>
      <c r="G47" s="105" t="s">
        <v>148</v>
      </c>
    </row>
    <row r="48" spans="1:7" x14ac:dyDescent="0.25">
      <c r="A48" s="106">
        <v>2565</v>
      </c>
      <c r="B48" s="105" t="s">
        <v>181</v>
      </c>
      <c r="C48" s="105" t="s">
        <v>182</v>
      </c>
      <c r="D48" s="105" t="s">
        <v>203</v>
      </c>
      <c r="E48" s="105" t="s">
        <v>217</v>
      </c>
      <c r="F48" s="105" t="s">
        <v>437</v>
      </c>
      <c r="G48" s="105" t="s">
        <v>148</v>
      </c>
    </row>
    <row r="49" spans="1:7" x14ac:dyDescent="0.25">
      <c r="A49" s="106">
        <v>2590</v>
      </c>
      <c r="B49" s="105" t="s">
        <v>181</v>
      </c>
      <c r="C49" s="105" t="s">
        <v>182</v>
      </c>
      <c r="D49" s="105" t="s">
        <v>203</v>
      </c>
      <c r="E49" s="105" t="s">
        <v>18</v>
      </c>
      <c r="F49" s="105" t="s">
        <v>438</v>
      </c>
      <c r="G49" s="105" t="s">
        <v>148</v>
      </c>
    </row>
    <row r="50" spans="1:7" x14ac:dyDescent="0.25">
      <c r="A50" s="106">
        <v>2603</v>
      </c>
      <c r="B50" s="105" t="s">
        <v>181</v>
      </c>
      <c r="C50" s="105" t="s">
        <v>182</v>
      </c>
      <c r="D50" s="105" t="s">
        <v>203</v>
      </c>
      <c r="E50" s="105" t="s">
        <v>220</v>
      </c>
      <c r="F50" s="105" t="s">
        <v>439</v>
      </c>
      <c r="G50" s="105" t="s">
        <v>148</v>
      </c>
    </row>
    <row r="51" spans="1:7" x14ac:dyDescent="0.25">
      <c r="A51" s="106">
        <v>2605</v>
      </c>
      <c r="B51" s="105" t="s">
        <v>181</v>
      </c>
      <c r="C51" s="105" t="s">
        <v>182</v>
      </c>
      <c r="D51" s="105" t="s">
        <v>203</v>
      </c>
      <c r="E51" s="105" t="s">
        <v>222</v>
      </c>
      <c r="F51" s="105" t="s">
        <v>440</v>
      </c>
      <c r="G51" s="105" t="s">
        <v>148</v>
      </c>
    </row>
    <row r="52" spans="1:7" x14ac:dyDescent="0.25">
      <c r="A52" s="106">
        <v>2630</v>
      </c>
      <c r="B52" s="105" t="s">
        <v>181</v>
      </c>
      <c r="C52" s="105" t="s">
        <v>182</v>
      </c>
      <c r="D52" s="105" t="s">
        <v>203</v>
      </c>
      <c r="E52" s="105" t="s">
        <v>19</v>
      </c>
      <c r="F52" s="105" t="s">
        <v>441</v>
      </c>
      <c r="G52" s="105" t="s">
        <v>148</v>
      </c>
    </row>
    <row r="53" spans="1:7" x14ac:dyDescent="0.25">
      <c r="A53" s="106">
        <v>2642</v>
      </c>
      <c r="B53" s="105" t="s">
        <v>181</v>
      </c>
      <c r="C53" s="105" t="s">
        <v>182</v>
      </c>
      <c r="D53" s="105" t="s">
        <v>203</v>
      </c>
      <c r="E53" s="105" t="s">
        <v>225</v>
      </c>
      <c r="F53" s="105" t="s">
        <v>442</v>
      </c>
      <c r="G53" s="105" t="s">
        <v>148</v>
      </c>
    </row>
    <row r="54" spans="1:7" x14ac:dyDescent="0.25">
      <c r="A54" s="106">
        <v>2644</v>
      </c>
      <c r="B54" s="105" t="s">
        <v>181</v>
      </c>
      <c r="C54" s="105" t="s">
        <v>182</v>
      </c>
      <c r="D54" s="105" t="s">
        <v>203</v>
      </c>
      <c r="E54" s="105" t="s">
        <v>227</v>
      </c>
      <c r="F54" s="105" t="s">
        <v>443</v>
      </c>
      <c r="G54" s="105" t="s">
        <v>148</v>
      </c>
    </row>
    <row r="55" spans="1:7" x14ac:dyDescent="0.25">
      <c r="A55" s="106">
        <v>2669</v>
      </c>
      <c r="B55" s="105" t="s">
        <v>181</v>
      </c>
      <c r="C55" s="105" t="s">
        <v>182</v>
      </c>
      <c r="D55" s="105" t="s">
        <v>203</v>
      </c>
      <c r="E55" s="105" t="s">
        <v>20</v>
      </c>
      <c r="F55" s="105" t="s">
        <v>444</v>
      </c>
      <c r="G55" s="105" t="s">
        <v>148</v>
      </c>
    </row>
    <row r="56" spans="1:7" x14ac:dyDescent="0.25">
      <c r="A56" s="106">
        <v>2681</v>
      </c>
      <c r="B56" s="105" t="s">
        <v>181</v>
      </c>
      <c r="C56" s="105" t="s">
        <v>182</v>
      </c>
      <c r="D56" s="105" t="s">
        <v>203</v>
      </c>
      <c r="E56" s="105" t="s">
        <v>230</v>
      </c>
      <c r="F56" s="105" t="s">
        <v>445</v>
      </c>
      <c r="G56" s="105" t="s">
        <v>148</v>
      </c>
    </row>
    <row r="57" spans="1:7" x14ac:dyDescent="0.25">
      <c r="A57" s="106">
        <v>2683</v>
      </c>
      <c r="B57" s="105" t="s">
        <v>181</v>
      </c>
      <c r="C57" s="105" t="s">
        <v>182</v>
      </c>
      <c r="D57" s="105" t="s">
        <v>203</v>
      </c>
      <c r="E57" s="105" t="s">
        <v>232</v>
      </c>
      <c r="F57" s="105" t="s">
        <v>446</v>
      </c>
      <c r="G57" s="105" t="s">
        <v>148</v>
      </c>
    </row>
    <row r="58" spans="1:7" x14ac:dyDescent="0.25">
      <c r="A58" s="106">
        <v>2454</v>
      </c>
      <c r="B58" s="105" t="s">
        <v>181</v>
      </c>
      <c r="C58" s="105" t="s">
        <v>234</v>
      </c>
      <c r="D58" s="105" t="s">
        <v>14</v>
      </c>
      <c r="E58" s="105" t="s">
        <v>15</v>
      </c>
      <c r="F58" s="105" t="s">
        <v>447</v>
      </c>
      <c r="G58" s="105" t="s">
        <v>148</v>
      </c>
    </row>
    <row r="59" spans="1:7" x14ac:dyDescent="0.25">
      <c r="A59" s="106">
        <v>2493</v>
      </c>
      <c r="B59" s="105" t="s">
        <v>181</v>
      </c>
      <c r="C59" s="105" t="s">
        <v>234</v>
      </c>
      <c r="D59" s="105" t="s">
        <v>14</v>
      </c>
      <c r="E59" s="105" t="s">
        <v>16</v>
      </c>
      <c r="F59" s="105" t="s">
        <v>448</v>
      </c>
      <c r="G59" s="105" t="s">
        <v>148</v>
      </c>
    </row>
    <row r="60" spans="1:7" x14ac:dyDescent="0.25">
      <c r="A60" s="106">
        <v>2532</v>
      </c>
      <c r="B60" s="105" t="s">
        <v>181</v>
      </c>
      <c r="C60" s="105" t="s">
        <v>234</v>
      </c>
      <c r="D60" s="105" t="s">
        <v>14</v>
      </c>
      <c r="E60" s="105" t="s">
        <v>17</v>
      </c>
      <c r="F60" s="105" t="s">
        <v>449</v>
      </c>
      <c r="G60" s="105" t="s">
        <v>148</v>
      </c>
    </row>
    <row r="61" spans="1:7" x14ac:dyDescent="0.25">
      <c r="A61" s="106">
        <v>2571</v>
      </c>
      <c r="B61" s="105" t="s">
        <v>181</v>
      </c>
      <c r="C61" s="105" t="s">
        <v>234</v>
      </c>
      <c r="D61" s="105" t="s">
        <v>14</v>
      </c>
      <c r="E61" s="105" t="s">
        <v>18</v>
      </c>
      <c r="F61" s="105" t="s">
        <v>450</v>
      </c>
      <c r="G61" s="105" t="s">
        <v>148</v>
      </c>
    </row>
    <row r="62" spans="1:7" x14ac:dyDescent="0.25">
      <c r="A62" s="106">
        <v>2611</v>
      </c>
      <c r="B62" s="105" t="s">
        <v>181</v>
      </c>
      <c r="C62" s="105" t="s">
        <v>234</v>
      </c>
      <c r="D62" s="105" t="s">
        <v>14</v>
      </c>
      <c r="E62" s="105" t="s">
        <v>19</v>
      </c>
      <c r="F62" s="105" t="s">
        <v>451</v>
      </c>
      <c r="G62" s="105" t="s">
        <v>148</v>
      </c>
    </row>
    <row r="63" spans="1:7" x14ac:dyDescent="0.25">
      <c r="A63" s="106">
        <v>2650</v>
      </c>
      <c r="B63" s="105" t="s">
        <v>181</v>
      </c>
      <c r="C63" s="105" t="s">
        <v>234</v>
      </c>
      <c r="D63" s="105" t="s">
        <v>14</v>
      </c>
      <c r="E63" s="105" t="s">
        <v>20</v>
      </c>
      <c r="F63" s="105" t="s">
        <v>452</v>
      </c>
      <c r="G63" s="105" t="s">
        <v>148</v>
      </c>
    </row>
    <row r="64" spans="1:7" x14ac:dyDescent="0.25">
      <c r="A64" s="106">
        <v>2710</v>
      </c>
      <c r="B64" s="105" t="s">
        <v>181</v>
      </c>
      <c r="C64" s="105" t="s">
        <v>234</v>
      </c>
      <c r="D64" s="105" t="s">
        <v>14</v>
      </c>
      <c r="E64" s="105" t="s">
        <v>189</v>
      </c>
      <c r="F64" s="105" t="s">
        <v>417</v>
      </c>
      <c r="G64" s="105" t="s">
        <v>148</v>
      </c>
    </row>
    <row r="65" spans="1:7" x14ac:dyDescent="0.25">
      <c r="A65" s="106">
        <v>2732</v>
      </c>
      <c r="B65" s="105" t="s">
        <v>181</v>
      </c>
      <c r="C65" s="105" t="s">
        <v>234</v>
      </c>
      <c r="D65" s="105" t="s">
        <v>14</v>
      </c>
      <c r="E65" s="105" t="s">
        <v>191</v>
      </c>
      <c r="F65" s="105" t="s">
        <v>418</v>
      </c>
      <c r="G65" s="105" t="s">
        <v>148</v>
      </c>
    </row>
    <row r="66" spans="1:7" x14ac:dyDescent="0.25">
      <c r="A66" s="106">
        <v>2754</v>
      </c>
      <c r="B66" s="105" t="s">
        <v>181</v>
      </c>
      <c r="C66" s="105" t="s">
        <v>234</v>
      </c>
      <c r="D66" s="105" t="s">
        <v>14</v>
      </c>
      <c r="E66" s="105" t="s">
        <v>14</v>
      </c>
      <c r="F66" s="105" t="s">
        <v>453</v>
      </c>
      <c r="G66" s="105" t="s">
        <v>148</v>
      </c>
    </row>
    <row r="67" spans="1:7" x14ac:dyDescent="0.25">
      <c r="A67" s="106">
        <v>2464</v>
      </c>
      <c r="B67" s="105" t="s">
        <v>181</v>
      </c>
      <c r="C67" s="105" t="s">
        <v>234</v>
      </c>
      <c r="D67" s="105" t="s">
        <v>21</v>
      </c>
      <c r="E67" s="105" t="s">
        <v>15</v>
      </c>
      <c r="F67" s="105" t="s">
        <v>454</v>
      </c>
      <c r="G67" s="105" t="s">
        <v>148</v>
      </c>
    </row>
    <row r="68" spans="1:7" x14ac:dyDescent="0.25">
      <c r="A68" s="106">
        <v>2503</v>
      </c>
      <c r="B68" s="105" t="s">
        <v>181</v>
      </c>
      <c r="C68" s="105" t="s">
        <v>234</v>
      </c>
      <c r="D68" s="105" t="s">
        <v>21</v>
      </c>
      <c r="E68" s="105" t="s">
        <v>16</v>
      </c>
      <c r="F68" s="105" t="s">
        <v>455</v>
      </c>
      <c r="G68" s="105" t="s">
        <v>148</v>
      </c>
    </row>
    <row r="69" spans="1:7" x14ac:dyDescent="0.25">
      <c r="A69" s="106">
        <v>2542</v>
      </c>
      <c r="B69" s="105" t="s">
        <v>181</v>
      </c>
      <c r="C69" s="105" t="s">
        <v>234</v>
      </c>
      <c r="D69" s="105" t="s">
        <v>21</v>
      </c>
      <c r="E69" s="105" t="s">
        <v>17</v>
      </c>
      <c r="F69" s="105" t="s">
        <v>456</v>
      </c>
      <c r="G69" s="105" t="s">
        <v>148</v>
      </c>
    </row>
    <row r="70" spans="1:7" x14ac:dyDescent="0.25">
      <c r="A70" s="106">
        <v>2581</v>
      </c>
      <c r="B70" s="105" t="s">
        <v>181</v>
      </c>
      <c r="C70" s="105" t="s">
        <v>234</v>
      </c>
      <c r="D70" s="105" t="s">
        <v>21</v>
      </c>
      <c r="E70" s="105" t="s">
        <v>18</v>
      </c>
      <c r="F70" s="105" t="s">
        <v>457</v>
      </c>
      <c r="G70" s="105" t="s">
        <v>148</v>
      </c>
    </row>
    <row r="71" spans="1:7" x14ac:dyDescent="0.25">
      <c r="A71" s="106">
        <v>2621</v>
      </c>
      <c r="B71" s="105" t="s">
        <v>181</v>
      </c>
      <c r="C71" s="105" t="s">
        <v>234</v>
      </c>
      <c r="D71" s="105" t="s">
        <v>21</v>
      </c>
      <c r="E71" s="105" t="s">
        <v>19</v>
      </c>
      <c r="F71" s="105" t="s">
        <v>458</v>
      </c>
      <c r="G71" s="105" t="s">
        <v>148</v>
      </c>
    </row>
    <row r="72" spans="1:7" x14ac:dyDescent="0.25">
      <c r="A72" s="106">
        <v>2660</v>
      </c>
      <c r="B72" s="105" t="s">
        <v>181</v>
      </c>
      <c r="C72" s="105" t="s">
        <v>234</v>
      </c>
      <c r="D72" s="105" t="s">
        <v>21</v>
      </c>
      <c r="E72" s="105" t="s">
        <v>20</v>
      </c>
      <c r="F72" s="105" t="s">
        <v>459</v>
      </c>
      <c r="G72" s="105" t="s">
        <v>148</v>
      </c>
    </row>
    <row r="73" spans="1:7" x14ac:dyDescent="0.25">
      <c r="A73" s="106">
        <v>2721</v>
      </c>
      <c r="B73" s="105" t="s">
        <v>181</v>
      </c>
      <c r="C73" s="105" t="s">
        <v>234</v>
      </c>
      <c r="D73" s="105" t="s">
        <v>21</v>
      </c>
      <c r="E73" s="105" t="s">
        <v>189</v>
      </c>
      <c r="F73" s="105" t="s">
        <v>460</v>
      </c>
      <c r="G73" s="105" t="s">
        <v>148</v>
      </c>
    </row>
    <row r="74" spans="1:7" x14ac:dyDescent="0.25">
      <c r="A74" s="106">
        <v>2743</v>
      </c>
      <c r="B74" s="105" t="s">
        <v>181</v>
      </c>
      <c r="C74" s="105" t="s">
        <v>234</v>
      </c>
      <c r="D74" s="105" t="s">
        <v>21</v>
      </c>
      <c r="E74" s="105" t="s">
        <v>191</v>
      </c>
      <c r="F74" s="105" t="s">
        <v>427</v>
      </c>
      <c r="G74" s="105" t="s">
        <v>148</v>
      </c>
    </row>
    <row r="75" spans="1:7" x14ac:dyDescent="0.25">
      <c r="A75" s="106">
        <v>2765</v>
      </c>
      <c r="B75" s="105" t="s">
        <v>181</v>
      </c>
      <c r="C75" s="105" t="s">
        <v>234</v>
      </c>
      <c r="D75" s="105" t="s">
        <v>21</v>
      </c>
      <c r="E75" s="105" t="s">
        <v>14</v>
      </c>
      <c r="F75" s="105" t="s">
        <v>461</v>
      </c>
      <c r="G75" s="105" t="s">
        <v>148</v>
      </c>
    </row>
    <row r="76" spans="1:7" x14ac:dyDescent="0.25">
      <c r="A76" s="106">
        <v>2474</v>
      </c>
      <c r="B76" s="105" t="s">
        <v>181</v>
      </c>
      <c r="C76" s="105" t="s">
        <v>234</v>
      </c>
      <c r="D76" s="105" t="s">
        <v>203</v>
      </c>
      <c r="E76" s="105" t="s">
        <v>15</v>
      </c>
      <c r="F76" s="105" t="s">
        <v>462</v>
      </c>
      <c r="G76" s="105" t="s">
        <v>148</v>
      </c>
    </row>
    <row r="77" spans="1:7" x14ac:dyDescent="0.25">
      <c r="A77" s="106">
        <v>2488</v>
      </c>
      <c r="B77" s="105" t="s">
        <v>181</v>
      </c>
      <c r="C77" s="105" t="s">
        <v>234</v>
      </c>
      <c r="D77" s="105" t="s">
        <v>203</v>
      </c>
      <c r="E77" s="105" t="s">
        <v>207</v>
      </c>
      <c r="F77" s="105" t="s">
        <v>463</v>
      </c>
      <c r="G77" s="105" t="s">
        <v>148</v>
      </c>
    </row>
    <row r="78" spans="1:7" x14ac:dyDescent="0.25">
      <c r="A78" s="106">
        <v>2513</v>
      </c>
      <c r="B78" s="105" t="s">
        <v>181</v>
      </c>
      <c r="C78" s="105" t="s">
        <v>234</v>
      </c>
      <c r="D78" s="105" t="s">
        <v>203</v>
      </c>
      <c r="E78" s="105" t="s">
        <v>16</v>
      </c>
      <c r="F78" s="105" t="s">
        <v>464</v>
      </c>
      <c r="G78" s="105" t="s">
        <v>148</v>
      </c>
    </row>
    <row r="79" spans="1:7" x14ac:dyDescent="0.25">
      <c r="A79" s="106">
        <v>2527</v>
      </c>
      <c r="B79" s="105" t="s">
        <v>181</v>
      </c>
      <c r="C79" s="105" t="s">
        <v>234</v>
      </c>
      <c r="D79" s="105" t="s">
        <v>203</v>
      </c>
      <c r="E79" s="105" t="s">
        <v>212</v>
      </c>
      <c r="F79" s="105" t="s">
        <v>465</v>
      </c>
      <c r="G79" s="105" t="s">
        <v>148</v>
      </c>
    </row>
    <row r="80" spans="1:7" x14ac:dyDescent="0.25">
      <c r="A80" s="106">
        <v>2552</v>
      </c>
      <c r="B80" s="105" t="s">
        <v>181</v>
      </c>
      <c r="C80" s="105" t="s">
        <v>234</v>
      </c>
      <c r="D80" s="105" t="s">
        <v>203</v>
      </c>
      <c r="E80" s="105" t="s">
        <v>17</v>
      </c>
      <c r="F80" s="105" t="s">
        <v>466</v>
      </c>
      <c r="G80" s="105" t="s">
        <v>148</v>
      </c>
    </row>
    <row r="81" spans="1:7" x14ac:dyDescent="0.25">
      <c r="A81" s="106">
        <v>2566</v>
      </c>
      <c r="B81" s="105" t="s">
        <v>181</v>
      </c>
      <c r="C81" s="105" t="s">
        <v>234</v>
      </c>
      <c r="D81" s="105" t="s">
        <v>203</v>
      </c>
      <c r="E81" s="105" t="s">
        <v>217</v>
      </c>
      <c r="F81" s="105" t="s">
        <v>467</v>
      </c>
      <c r="G81" s="105" t="s">
        <v>148</v>
      </c>
    </row>
    <row r="82" spans="1:7" x14ac:dyDescent="0.25">
      <c r="A82" s="106">
        <v>2591</v>
      </c>
      <c r="B82" s="105" t="s">
        <v>181</v>
      </c>
      <c r="C82" s="105" t="s">
        <v>234</v>
      </c>
      <c r="D82" s="105" t="s">
        <v>203</v>
      </c>
      <c r="E82" s="105" t="s">
        <v>18</v>
      </c>
      <c r="F82" s="105" t="s">
        <v>468</v>
      </c>
      <c r="G82" s="105" t="s">
        <v>148</v>
      </c>
    </row>
    <row r="83" spans="1:7" x14ac:dyDescent="0.25">
      <c r="A83" s="106">
        <v>2606</v>
      </c>
      <c r="B83" s="105" t="s">
        <v>181</v>
      </c>
      <c r="C83" s="105" t="s">
        <v>234</v>
      </c>
      <c r="D83" s="105" t="s">
        <v>203</v>
      </c>
      <c r="E83" s="105" t="s">
        <v>222</v>
      </c>
      <c r="F83" s="105" t="s">
        <v>469</v>
      </c>
      <c r="G83" s="105" t="s">
        <v>148</v>
      </c>
    </row>
    <row r="84" spans="1:7" x14ac:dyDescent="0.25">
      <c r="A84" s="106">
        <v>2631</v>
      </c>
      <c r="B84" s="105" t="s">
        <v>181</v>
      </c>
      <c r="C84" s="105" t="s">
        <v>234</v>
      </c>
      <c r="D84" s="105" t="s">
        <v>203</v>
      </c>
      <c r="E84" s="105" t="s">
        <v>19</v>
      </c>
      <c r="F84" s="105" t="s">
        <v>470</v>
      </c>
      <c r="G84" s="105" t="s">
        <v>148</v>
      </c>
    </row>
    <row r="85" spans="1:7" x14ac:dyDescent="0.25">
      <c r="A85" s="106">
        <v>2645</v>
      </c>
      <c r="B85" s="105" t="s">
        <v>181</v>
      </c>
      <c r="C85" s="105" t="s">
        <v>234</v>
      </c>
      <c r="D85" s="105" t="s">
        <v>203</v>
      </c>
      <c r="E85" s="105" t="s">
        <v>227</v>
      </c>
      <c r="F85" s="105" t="s">
        <v>471</v>
      </c>
      <c r="G85" s="105" t="s">
        <v>148</v>
      </c>
    </row>
    <row r="86" spans="1:7" x14ac:dyDescent="0.25">
      <c r="A86" s="106">
        <v>2670</v>
      </c>
      <c r="B86" s="105" t="s">
        <v>181</v>
      </c>
      <c r="C86" s="105" t="s">
        <v>234</v>
      </c>
      <c r="D86" s="105" t="s">
        <v>203</v>
      </c>
      <c r="E86" s="105" t="s">
        <v>20</v>
      </c>
      <c r="F86" s="105" t="s">
        <v>472</v>
      </c>
      <c r="G86" s="105" t="s">
        <v>148</v>
      </c>
    </row>
    <row r="87" spans="1:7" x14ac:dyDescent="0.25">
      <c r="A87" s="106">
        <v>2684</v>
      </c>
      <c r="B87" s="105" t="s">
        <v>181</v>
      </c>
      <c r="C87" s="105" t="s">
        <v>234</v>
      </c>
      <c r="D87" s="105" t="s">
        <v>203</v>
      </c>
      <c r="E87" s="105" t="s">
        <v>232</v>
      </c>
      <c r="F87" s="105" t="s">
        <v>473</v>
      </c>
      <c r="G87" s="105" t="s">
        <v>148</v>
      </c>
    </row>
    <row r="88" spans="1:7" x14ac:dyDescent="0.25">
      <c r="A88" s="106">
        <v>2455</v>
      </c>
      <c r="B88" s="105" t="s">
        <v>181</v>
      </c>
      <c r="C88" s="105" t="s">
        <v>262</v>
      </c>
      <c r="D88" s="105" t="s">
        <v>14</v>
      </c>
      <c r="E88" s="105" t="s">
        <v>15</v>
      </c>
      <c r="F88" s="105" t="s">
        <v>474</v>
      </c>
      <c r="G88" s="105" t="s">
        <v>148</v>
      </c>
    </row>
    <row r="89" spans="1:7" x14ac:dyDescent="0.25">
      <c r="A89" s="106">
        <v>2494</v>
      </c>
      <c r="B89" s="105" t="s">
        <v>181</v>
      </c>
      <c r="C89" s="105" t="s">
        <v>262</v>
      </c>
      <c r="D89" s="105" t="s">
        <v>14</v>
      </c>
      <c r="E89" s="105" t="s">
        <v>16</v>
      </c>
      <c r="F89" s="105" t="s">
        <v>475</v>
      </c>
      <c r="G89" s="105" t="s">
        <v>148</v>
      </c>
    </row>
    <row r="90" spans="1:7" x14ac:dyDescent="0.25">
      <c r="A90" s="106">
        <v>2533</v>
      </c>
      <c r="B90" s="105" t="s">
        <v>181</v>
      </c>
      <c r="C90" s="105" t="s">
        <v>262</v>
      </c>
      <c r="D90" s="105" t="s">
        <v>14</v>
      </c>
      <c r="E90" s="105" t="s">
        <v>17</v>
      </c>
      <c r="F90" s="105" t="s">
        <v>476</v>
      </c>
      <c r="G90" s="105" t="s">
        <v>148</v>
      </c>
    </row>
    <row r="91" spans="1:7" x14ac:dyDescent="0.25">
      <c r="A91" s="106">
        <v>2572</v>
      </c>
      <c r="B91" s="105" t="s">
        <v>181</v>
      </c>
      <c r="C91" s="105" t="s">
        <v>262</v>
      </c>
      <c r="D91" s="105" t="s">
        <v>14</v>
      </c>
      <c r="E91" s="105" t="s">
        <v>18</v>
      </c>
      <c r="F91" s="105" t="s">
        <v>477</v>
      </c>
      <c r="G91" s="105" t="s">
        <v>148</v>
      </c>
    </row>
    <row r="92" spans="1:7" x14ac:dyDescent="0.25">
      <c r="A92" s="106">
        <v>2612</v>
      </c>
      <c r="B92" s="105" t="s">
        <v>181</v>
      </c>
      <c r="C92" s="105" t="s">
        <v>262</v>
      </c>
      <c r="D92" s="105" t="s">
        <v>14</v>
      </c>
      <c r="E92" s="105" t="s">
        <v>19</v>
      </c>
      <c r="F92" s="105" t="s">
        <v>478</v>
      </c>
      <c r="G92" s="105" t="s">
        <v>148</v>
      </c>
    </row>
    <row r="93" spans="1:7" x14ac:dyDescent="0.25">
      <c r="A93" s="106">
        <v>2651</v>
      </c>
      <c r="B93" s="105" t="s">
        <v>181</v>
      </c>
      <c r="C93" s="105" t="s">
        <v>262</v>
      </c>
      <c r="D93" s="105" t="s">
        <v>14</v>
      </c>
      <c r="E93" s="105" t="s">
        <v>20</v>
      </c>
      <c r="F93" s="105" t="s">
        <v>479</v>
      </c>
      <c r="G93" s="105" t="s">
        <v>148</v>
      </c>
    </row>
    <row r="94" spans="1:7" x14ac:dyDescent="0.25">
      <c r="A94" s="106">
        <v>2711</v>
      </c>
      <c r="B94" s="105" t="s">
        <v>181</v>
      </c>
      <c r="C94" s="105" t="s">
        <v>262</v>
      </c>
      <c r="D94" s="105" t="s">
        <v>14</v>
      </c>
      <c r="E94" s="105" t="s">
        <v>189</v>
      </c>
      <c r="F94" s="105" t="s">
        <v>480</v>
      </c>
      <c r="G94" s="105" t="s">
        <v>148</v>
      </c>
    </row>
    <row r="95" spans="1:7" x14ac:dyDescent="0.25">
      <c r="A95" s="106">
        <v>2733</v>
      </c>
      <c r="B95" s="105" t="s">
        <v>181</v>
      </c>
      <c r="C95" s="105" t="s">
        <v>262</v>
      </c>
      <c r="D95" s="105" t="s">
        <v>14</v>
      </c>
      <c r="E95" s="105" t="s">
        <v>191</v>
      </c>
      <c r="F95" s="105" t="s">
        <v>481</v>
      </c>
      <c r="G95" s="105" t="s">
        <v>148</v>
      </c>
    </row>
    <row r="96" spans="1:7" x14ac:dyDescent="0.25">
      <c r="A96" s="106">
        <v>2755</v>
      </c>
      <c r="B96" s="105" t="s">
        <v>181</v>
      </c>
      <c r="C96" s="105" t="s">
        <v>262</v>
      </c>
      <c r="D96" s="105" t="s">
        <v>14</v>
      </c>
      <c r="E96" s="105" t="s">
        <v>14</v>
      </c>
      <c r="F96" s="105" t="s">
        <v>482</v>
      </c>
      <c r="G96" s="105" t="s">
        <v>148</v>
      </c>
    </row>
    <row r="97" spans="1:7" x14ac:dyDescent="0.25">
      <c r="A97" s="106">
        <v>2465</v>
      </c>
      <c r="B97" s="105" t="s">
        <v>181</v>
      </c>
      <c r="C97" s="105" t="s">
        <v>262</v>
      </c>
      <c r="D97" s="105" t="s">
        <v>21</v>
      </c>
      <c r="E97" s="105" t="s">
        <v>15</v>
      </c>
      <c r="F97" s="105" t="s">
        <v>483</v>
      </c>
      <c r="G97" s="105" t="s">
        <v>148</v>
      </c>
    </row>
    <row r="98" spans="1:7" x14ac:dyDescent="0.25">
      <c r="A98" s="106">
        <v>2504</v>
      </c>
      <c r="B98" s="105" t="s">
        <v>181</v>
      </c>
      <c r="C98" s="105" t="s">
        <v>262</v>
      </c>
      <c r="D98" s="105" t="s">
        <v>21</v>
      </c>
      <c r="E98" s="105" t="s">
        <v>16</v>
      </c>
      <c r="F98" s="105" t="s">
        <v>484</v>
      </c>
      <c r="G98" s="105" t="s">
        <v>148</v>
      </c>
    </row>
    <row r="99" spans="1:7" x14ac:dyDescent="0.25">
      <c r="A99" s="106">
        <v>2543</v>
      </c>
      <c r="B99" s="105" t="s">
        <v>181</v>
      </c>
      <c r="C99" s="105" t="s">
        <v>262</v>
      </c>
      <c r="D99" s="105" t="s">
        <v>21</v>
      </c>
      <c r="E99" s="105" t="s">
        <v>17</v>
      </c>
      <c r="F99" s="105" t="s">
        <v>485</v>
      </c>
      <c r="G99" s="105" t="s">
        <v>148</v>
      </c>
    </row>
    <row r="100" spans="1:7" x14ac:dyDescent="0.25">
      <c r="A100" s="106">
        <v>2582</v>
      </c>
      <c r="B100" s="105" t="s">
        <v>181</v>
      </c>
      <c r="C100" s="105" t="s">
        <v>262</v>
      </c>
      <c r="D100" s="105" t="s">
        <v>21</v>
      </c>
      <c r="E100" s="105" t="s">
        <v>18</v>
      </c>
      <c r="F100" s="105" t="s">
        <v>486</v>
      </c>
      <c r="G100" s="105" t="s">
        <v>148</v>
      </c>
    </row>
    <row r="101" spans="1:7" x14ac:dyDescent="0.25">
      <c r="A101" s="106">
        <v>2622</v>
      </c>
      <c r="B101" s="105" t="s">
        <v>181</v>
      </c>
      <c r="C101" s="105" t="s">
        <v>262</v>
      </c>
      <c r="D101" s="105" t="s">
        <v>21</v>
      </c>
      <c r="E101" s="105" t="s">
        <v>19</v>
      </c>
      <c r="F101" s="105" t="s">
        <v>487</v>
      </c>
      <c r="G101" s="105" t="s">
        <v>148</v>
      </c>
    </row>
    <row r="102" spans="1:7" x14ac:dyDescent="0.25">
      <c r="A102" s="106">
        <v>2661</v>
      </c>
      <c r="B102" s="105" t="s">
        <v>181</v>
      </c>
      <c r="C102" s="105" t="s">
        <v>262</v>
      </c>
      <c r="D102" s="105" t="s">
        <v>21</v>
      </c>
      <c r="E102" s="105" t="s">
        <v>20</v>
      </c>
      <c r="F102" s="105" t="s">
        <v>488</v>
      </c>
      <c r="G102" s="105" t="s">
        <v>148</v>
      </c>
    </row>
    <row r="103" spans="1:7" x14ac:dyDescent="0.25">
      <c r="A103" s="106">
        <v>2722</v>
      </c>
      <c r="B103" s="105" t="s">
        <v>181</v>
      </c>
      <c r="C103" s="105" t="s">
        <v>262</v>
      </c>
      <c r="D103" s="105" t="s">
        <v>21</v>
      </c>
      <c r="E103" s="105" t="s">
        <v>189</v>
      </c>
      <c r="F103" s="105" t="s">
        <v>489</v>
      </c>
      <c r="G103" s="105" t="s">
        <v>148</v>
      </c>
    </row>
    <row r="104" spans="1:7" x14ac:dyDescent="0.25">
      <c r="A104" s="106">
        <v>2744</v>
      </c>
      <c r="B104" s="105" t="s">
        <v>181</v>
      </c>
      <c r="C104" s="105" t="s">
        <v>262</v>
      </c>
      <c r="D104" s="105" t="s">
        <v>21</v>
      </c>
      <c r="E104" s="105" t="s">
        <v>191</v>
      </c>
      <c r="F104" s="105" t="s">
        <v>490</v>
      </c>
      <c r="G104" s="105" t="s">
        <v>148</v>
      </c>
    </row>
    <row r="105" spans="1:7" x14ac:dyDescent="0.25">
      <c r="A105" s="106">
        <v>2766</v>
      </c>
      <c r="B105" s="105" t="s">
        <v>181</v>
      </c>
      <c r="C105" s="105" t="s">
        <v>262</v>
      </c>
      <c r="D105" s="105" t="s">
        <v>21</v>
      </c>
      <c r="E105" s="105" t="s">
        <v>14</v>
      </c>
      <c r="F105" s="105" t="s">
        <v>491</v>
      </c>
      <c r="G105" s="105" t="s">
        <v>148</v>
      </c>
    </row>
    <row r="106" spans="1:7" x14ac:dyDescent="0.25">
      <c r="A106" s="106">
        <v>2475</v>
      </c>
      <c r="B106" s="105" t="s">
        <v>181</v>
      </c>
      <c r="C106" s="105" t="s">
        <v>262</v>
      </c>
      <c r="D106" s="105" t="s">
        <v>203</v>
      </c>
      <c r="E106" s="105" t="s">
        <v>15</v>
      </c>
      <c r="F106" s="105" t="s">
        <v>492</v>
      </c>
      <c r="G106" s="105" t="s">
        <v>148</v>
      </c>
    </row>
    <row r="107" spans="1:7" x14ac:dyDescent="0.25">
      <c r="A107" s="106">
        <v>2514</v>
      </c>
      <c r="B107" s="105" t="s">
        <v>181</v>
      </c>
      <c r="C107" s="105" t="s">
        <v>262</v>
      </c>
      <c r="D107" s="105" t="s">
        <v>203</v>
      </c>
      <c r="E107" s="105" t="s">
        <v>16</v>
      </c>
      <c r="F107" s="105" t="s">
        <v>493</v>
      </c>
      <c r="G107" s="105" t="s">
        <v>148</v>
      </c>
    </row>
    <row r="108" spans="1:7" x14ac:dyDescent="0.25">
      <c r="A108" s="106">
        <v>2553</v>
      </c>
      <c r="B108" s="105" t="s">
        <v>181</v>
      </c>
      <c r="C108" s="105" t="s">
        <v>262</v>
      </c>
      <c r="D108" s="105" t="s">
        <v>203</v>
      </c>
      <c r="E108" s="105" t="s">
        <v>17</v>
      </c>
      <c r="F108" s="105" t="s">
        <v>494</v>
      </c>
      <c r="G108" s="105" t="s">
        <v>148</v>
      </c>
    </row>
    <row r="109" spans="1:7" x14ac:dyDescent="0.25">
      <c r="A109" s="106">
        <v>2592</v>
      </c>
      <c r="B109" s="105" t="s">
        <v>181</v>
      </c>
      <c r="C109" s="105" t="s">
        <v>262</v>
      </c>
      <c r="D109" s="105" t="s">
        <v>203</v>
      </c>
      <c r="E109" s="105" t="s">
        <v>18</v>
      </c>
      <c r="F109" s="105" t="s">
        <v>495</v>
      </c>
      <c r="G109" s="105" t="s">
        <v>148</v>
      </c>
    </row>
    <row r="110" spans="1:7" x14ac:dyDescent="0.25">
      <c r="A110" s="106">
        <v>2632</v>
      </c>
      <c r="B110" s="105" t="s">
        <v>181</v>
      </c>
      <c r="C110" s="105" t="s">
        <v>262</v>
      </c>
      <c r="D110" s="105" t="s">
        <v>203</v>
      </c>
      <c r="E110" s="105" t="s">
        <v>19</v>
      </c>
      <c r="F110" s="105" t="s">
        <v>496</v>
      </c>
      <c r="G110" s="105" t="s">
        <v>148</v>
      </c>
    </row>
    <row r="111" spans="1:7" x14ac:dyDescent="0.25">
      <c r="A111" s="106">
        <v>2671</v>
      </c>
      <c r="B111" s="105" t="s">
        <v>181</v>
      </c>
      <c r="C111" s="105" t="s">
        <v>262</v>
      </c>
      <c r="D111" s="105" t="s">
        <v>203</v>
      </c>
      <c r="E111" s="105" t="s">
        <v>20</v>
      </c>
      <c r="F111" s="105" t="s">
        <v>497</v>
      </c>
      <c r="G111" s="105" t="s">
        <v>148</v>
      </c>
    </row>
    <row r="112" spans="1:7" x14ac:dyDescent="0.25">
      <c r="A112" s="106">
        <v>2456</v>
      </c>
      <c r="B112" s="105" t="s">
        <v>181</v>
      </c>
      <c r="C112" s="105" t="s">
        <v>287</v>
      </c>
      <c r="D112" s="105" t="s">
        <v>14</v>
      </c>
      <c r="E112" s="105" t="s">
        <v>15</v>
      </c>
      <c r="F112" s="105" t="s">
        <v>411</v>
      </c>
      <c r="G112" s="105" t="s">
        <v>148</v>
      </c>
    </row>
    <row r="113" spans="1:7" x14ac:dyDescent="0.25">
      <c r="A113" s="106">
        <v>2495</v>
      </c>
      <c r="B113" s="105" t="s">
        <v>181</v>
      </c>
      <c r="C113" s="105" t="s">
        <v>287</v>
      </c>
      <c r="D113" s="105" t="s">
        <v>14</v>
      </c>
      <c r="E113" s="105" t="s">
        <v>16</v>
      </c>
      <c r="F113" s="105" t="s">
        <v>412</v>
      </c>
      <c r="G113" s="105" t="s">
        <v>148</v>
      </c>
    </row>
    <row r="114" spans="1:7" x14ac:dyDescent="0.25">
      <c r="A114" s="106">
        <v>2534</v>
      </c>
      <c r="B114" s="105" t="s">
        <v>181</v>
      </c>
      <c r="C114" s="105" t="s">
        <v>287</v>
      </c>
      <c r="D114" s="105" t="s">
        <v>14</v>
      </c>
      <c r="E114" s="105" t="s">
        <v>17</v>
      </c>
      <c r="F114" s="105" t="s">
        <v>413</v>
      </c>
      <c r="G114" s="105" t="s">
        <v>148</v>
      </c>
    </row>
    <row r="115" spans="1:7" x14ac:dyDescent="0.25">
      <c r="A115" s="106">
        <v>2573</v>
      </c>
      <c r="B115" s="105" t="s">
        <v>181</v>
      </c>
      <c r="C115" s="105" t="s">
        <v>287</v>
      </c>
      <c r="D115" s="105" t="s">
        <v>14</v>
      </c>
      <c r="E115" s="105" t="s">
        <v>18</v>
      </c>
      <c r="F115" s="105" t="s">
        <v>414</v>
      </c>
      <c r="G115" s="105" t="s">
        <v>148</v>
      </c>
    </row>
    <row r="116" spans="1:7" x14ac:dyDescent="0.25">
      <c r="A116" s="106">
        <v>2613</v>
      </c>
      <c r="B116" s="105" t="s">
        <v>181</v>
      </c>
      <c r="C116" s="105" t="s">
        <v>287</v>
      </c>
      <c r="D116" s="105" t="s">
        <v>14</v>
      </c>
      <c r="E116" s="105" t="s">
        <v>19</v>
      </c>
      <c r="F116" s="105" t="s">
        <v>415</v>
      </c>
      <c r="G116" s="105" t="s">
        <v>148</v>
      </c>
    </row>
    <row r="117" spans="1:7" x14ac:dyDescent="0.25">
      <c r="A117" s="106">
        <v>2652</v>
      </c>
      <c r="B117" s="105" t="s">
        <v>181</v>
      </c>
      <c r="C117" s="105" t="s">
        <v>287</v>
      </c>
      <c r="D117" s="105" t="s">
        <v>14</v>
      </c>
      <c r="E117" s="105" t="s">
        <v>20</v>
      </c>
      <c r="F117" s="105" t="s">
        <v>416</v>
      </c>
      <c r="G117" s="105" t="s">
        <v>148</v>
      </c>
    </row>
    <row r="118" spans="1:7" x14ac:dyDescent="0.25">
      <c r="A118" s="106">
        <v>2712</v>
      </c>
      <c r="B118" s="105" t="s">
        <v>181</v>
      </c>
      <c r="C118" s="105" t="s">
        <v>287</v>
      </c>
      <c r="D118" s="105" t="s">
        <v>14</v>
      </c>
      <c r="E118" s="105" t="s">
        <v>189</v>
      </c>
      <c r="F118" s="105" t="s">
        <v>417</v>
      </c>
      <c r="G118" s="105" t="s">
        <v>148</v>
      </c>
    </row>
    <row r="119" spans="1:7" x14ac:dyDescent="0.25">
      <c r="A119" s="106">
        <v>2734</v>
      </c>
      <c r="B119" s="105" t="s">
        <v>181</v>
      </c>
      <c r="C119" s="105" t="s">
        <v>287</v>
      </c>
      <c r="D119" s="105" t="s">
        <v>14</v>
      </c>
      <c r="E119" s="105" t="s">
        <v>191</v>
      </c>
      <c r="F119" s="105" t="s">
        <v>418</v>
      </c>
      <c r="G119" s="105" t="s">
        <v>148</v>
      </c>
    </row>
    <row r="120" spans="1:7" x14ac:dyDescent="0.25">
      <c r="A120" s="106">
        <v>2756</v>
      </c>
      <c r="B120" s="105" t="s">
        <v>181</v>
      </c>
      <c r="C120" s="105" t="s">
        <v>287</v>
      </c>
      <c r="D120" s="105" t="s">
        <v>14</v>
      </c>
      <c r="E120" s="105" t="s">
        <v>14</v>
      </c>
      <c r="F120" s="105" t="s">
        <v>419</v>
      </c>
      <c r="G120" s="105" t="s">
        <v>148</v>
      </c>
    </row>
    <row r="121" spans="1:7" x14ac:dyDescent="0.25">
      <c r="A121" s="106">
        <v>2775</v>
      </c>
      <c r="B121" s="105" t="s">
        <v>181</v>
      </c>
      <c r="C121" s="105" t="s">
        <v>287</v>
      </c>
      <c r="D121" s="105" t="s">
        <v>14</v>
      </c>
      <c r="E121" s="105" t="s">
        <v>288</v>
      </c>
      <c r="F121" s="105" t="s">
        <v>498</v>
      </c>
      <c r="G121" s="105" t="s">
        <v>148</v>
      </c>
    </row>
    <row r="122" spans="1:7" x14ac:dyDescent="0.25">
      <c r="A122" s="106">
        <v>2466</v>
      </c>
      <c r="B122" s="105" t="s">
        <v>181</v>
      </c>
      <c r="C122" s="105" t="s">
        <v>287</v>
      </c>
      <c r="D122" s="105" t="s">
        <v>21</v>
      </c>
      <c r="E122" s="105" t="s">
        <v>15</v>
      </c>
      <c r="F122" s="105" t="s">
        <v>420</v>
      </c>
      <c r="G122" s="105" t="s">
        <v>148</v>
      </c>
    </row>
    <row r="123" spans="1:7" x14ac:dyDescent="0.25">
      <c r="A123" s="106">
        <v>2505</v>
      </c>
      <c r="B123" s="105" t="s">
        <v>181</v>
      </c>
      <c r="C123" s="105" t="s">
        <v>287</v>
      </c>
      <c r="D123" s="105" t="s">
        <v>21</v>
      </c>
      <c r="E123" s="105" t="s">
        <v>16</v>
      </c>
      <c r="F123" s="105" t="s">
        <v>421</v>
      </c>
      <c r="G123" s="105" t="s">
        <v>148</v>
      </c>
    </row>
    <row r="124" spans="1:7" x14ac:dyDescent="0.25">
      <c r="A124" s="106">
        <v>2544</v>
      </c>
      <c r="B124" s="105" t="s">
        <v>181</v>
      </c>
      <c r="C124" s="105" t="s">
        <v>287</v>
      </c>
      <c r="D124" s="105" t="s">
        <v>21</v>
      </c>
      <c r="E124" s="105" t="s">
        <v>17</v>
      </c>
      <c r="F124" s="105" t="s">
        <v>422</v>
      </c>
      <c r="G124" s="105" t="s">
        <v>148</v>
      </c>
    </row>
    <row r="125" spans="1:7" x14ac:dyDescent="0.25">
      <c r="A125" s="106">
        <v>2583</v>
      </c>
      <c r="B125" s="105" t="s">
        <v>181</v>
      </c>
      <c r="C125" s="105" t="s">
        <v>287</v>
      </c>
      <c r="D125" s="105" t="s">
        <v>21</v>
      </c>
      <c r="E125" s="105" t="s">
        <v>18</v>
      </c>
      <c r="F125" s="105" t="s">
        <v>423</v>
      </c>
      <c r="G125" s="105" t="s">
        <v>148</v>
      </c>
    </row>
    <row r="126" spans="1:7" x14ac:dyDescent="0.25">
      <c r="A126" s="106">
        <v>2623</v>
      </c>
      <c r="B126" s="105" t="s">
        <v>181</v>
      </c>
      <c r="C126" s="105" t="s">
        <v>287</v>
      </c>
      <c r="D126" s="105" t="s">
        <v>21</v>
      </c>
      <c r="E126" s="105" t="s">
        <v>19</v>
      </c>
      <c r="F126" s="105" t="s">
        <v>424</v>
      </c>
      <c r="G126" s="105" t="s">
        <v>148</v>
      </c>
    </row>
    <row r="127" spans="1:7" x14ac:dyDescent="0.25">
      <c r="A127" s="106">
        <v>2662</v>
      </c>
      <c r="B127" s="105" t="s">
        <v>181</v>
      </c>
      <c r="C127" s="105" t="s">
        <v>287</v>
      </c>
      <c r="D127" s="105" t="s">
        <v>21</v>
      </c>
      <c r="E127" s="105" t="s">
        <v>20</v>
      </c>
      <c r="F127" s="105" t="s">
        <v>425</v>
      </c>
      <c r="G127" s="105" t="s">
        <v>148</v>
      </c>
    </row>
    <row r="128" spans="1:7" x14ac:dyDescent="0.25">
      <c r="A128" s="106">
        <v>2723</v>
      </c>
      <c r="B128" s="105" t="s">
        <v>181</v>
      </c>
      <c r="C128" s="105" t="s">
        <v>287</v>
      </c>
      <c r="D128" s="105" t="s">
        <v>21</v>
      </c>
      <c r="E128" s="105" t="s">
        <v>189</v>
      </c>
      <c r="F128" s="105" t="s">
        <v>426</v>
      </c>
      <c r="G128" s="105" t="s">
        <v>148</v>
      </c>
    </row>
    <row r="129" spans="1:7" x14ac:dyDescent="0.25">
      <c r="A129" s="106">
        <v>2745</v>
      </c>
      <c r="B129" s="105" t="s">
        <v>181</v>
      </c>
      <c r="C129" s="105" t="s">
        <v>287</v>
      </c>
      <c r="D129" s="105" t="s">
        <v>21</v>
      </c>
      <c r="E129" s="105" t="s">
        <v>191</v>
      </c>
      <c r="F129" s="105" t="s">
        <v>427</v>
      </c>
      <c r="G129" s="105" t="s">
        <v>148</v>
      </c>
    </row>
    <row r="130" spans="1:7" x14ac:dyDescent="0.25">
      <c r="A130" s="106">
        <v>2767</v>
      </c>
      <c r="B130" s="105" t="s">
        <v>181</v>
      </c>
      <c r="C130" s="105" t="s">
        <v>287</v>
      </c>
      <c r="D130" s="105" t="s">
        <v>21</v>
      </c>
      <c r="E130" s="105" t="s">
        <v>14</v>
      </c>
      <c r="F130" s="105" t="s">
        <v>428</v>
      </c>
      <c r="G130" s="105" t="s">
        <v>148</v>
      </c>
    </row>
    <row r="131" spans="1:7" x14ac:dyDescent="0.25">
      <c r="A131" s="106">
        <v>2476</v>
      </c>
      <c r="B131" s="105" t="s">
        <v>181</v>
      </c>
      <c r="C131" s="105" t="s">
        <v>287</v>
      </c>
      <c r="D131" s="105" t="s">
        <v>203</v>
      </c>
      <c r="E131" s="105" t="s">
        <v>15</v>
      </c>
      <c r="F131" s="105" t="s">
        <v>429</v>
      </c>
      <c r="G131" s="105" t="s">
        <v>148</v>
      </c>
    </row>
    <row r="132" spans="1:7" x14ac:dyDescent="0.25">
      <c r="A132" s="106">
        <v>2486</v>
      </c>
      <c r="B132" s="105" t="s">
        <v>181</v>
      </c>
      <c r="C132" s="105" t="s">
        <v>287</v>
      </c>
      <c r="D132" s="105" t="s">
        <v>203</v>
      </c>
      <c r="E132" s="105" t="s">
        <v>205</v>
      </c>
      <c r="F132" s="105" t="s">
        <v>430</v>
      </c>
      <c r="G132" s="105" t="s">
        <v>148</v>
      </c>
    </row>
    <row r="133" spans="1:7" x14ac:dyDescent="0.25">
      <c r="A133" s="106">
        <v>2489</v>
      </c>
      <c r="B133" s="105" t="s">
        <v>181</v>
      </c>
      <c r="C133" s="105" t="s">
        <v>287</v>
      </c>
      <c r="D133" s="105" t="s">
        <v>203</v>
      </c>
      <c r="E133" s="105" t="s">
        <v>207</v>
      </c>
      <c r="F133" s="105" t="s">
        <v>431</v>
      </c>
      <c r="G133" s="105" t="s">
        <v>148</v>
      </c>
    </row>
    <row r="134" spans="1:7" x14ac:dyDescent="0.25">
      <c r="A134" s="106">
        <v>2515</v>
      </c>
      <c r="B134" s="105" t="s">
        <v>181</v>
      </c>
      <c r="C134" s="105" t="s">
        <v>287</v>
      </c>
      <c r="D134" s="105" t="s">
        <v>203</v>
      </c>
      <c r="E134" s="105" t="s">
        <v>16</v>
      </c>
      <c r="F134" s="105" t="s">
        <v>432</v>
      </c>
      <c r="G134" s="105" t="s">
        <v>148</v>
      </c>
    </row>
    <row r="135" spans="1:7" x14ac:dyDescent="0.25">
      <c r="A135" s="106">
        <v>2525</v>
      </c>
      <c r="B135" s="105" t="s">
        <v>181</v>
      </c>
      <c r="C135" s="105" t="s">
        <v>287</v>
      </c>
      <c r="D135" s="105" t="s">
        <v>203</v>
      </c>
      <c r="E135" s="105" t="s">
        <v>210</v>
      </c>
      <c r="F135" s="105" t="s">
        <v>433</v>
      </c>
      <c r="G135" s="105" t="s">
        <v>148</v>
      </c>
    </row>
    <row r="136" spans="1:7" x14ac:dyDescent="0.25">
      <c r="A136" s="106">
        <v>2528</v>
      </c>
      <c r="B136" s="105" t="s">
        <v>181</v>
      </c>
      <c r="C136" s="105" t="s">
        <v>287</v>
      </c>
      <c r="D136" s="105" t="s">
        <v>203</v>
      </c>
      <c r="E136" s="105" t="s">
        <v>212</v>
      </c>
      <c r="F136" s="105" t="s">
        <v>434</v>
      </c>
      <c r="G136" s="105" t="s">
        <v>148</v>
      </c>
    </row>
    <row r="137" spans="1:7" x14ac:dyDescent="0.25">
      <c r="A137" s="106">
        <v>2554</v>
      </c>
      <c r="B137" s="105" t="s">
        <v>181</v>
      </c>
      <c r="C137" s="105" t="s">
        <v>287</v>
      </c>
      <c r="D137" s="105" t="s">
        <v>203</v>
      </c>
      <c r="E137" s="105" t="s">
        <v>17</v>
      </c>
      <c r="F137" s="105" t="s">
        <v>435</v>
      </c>
      <c r="G137" s="105" t="s">
        <v>148</v>
      </c>
    </row>
    <row r="138" spans="1:7" x14ac:dyDescent="0.25">
      <c r="A138" s="106">
        <v>2564</v>
      </c>
      <c r="B138" s="105" t="s">
        <v>181</v>
      </c>
      <c r="C138" s="105" t="s">
        <v>287</v>
      </c>
      <c r="D138" s="105" t="s">
        <v>203</v>
      </c>
      <c r="E138" s="105" t="s">
        <v>215</v>
      </c>
      <c r="F138" s="105" t="s">
        <v>436</v>
      </c>
      <c r="G138" s="105" t="s">
        <v>148</v>
      </c>
    </row>
    <row r="139" spans="1:7" x14ac:dyDescent="0.25">
      <c r="A139" s="106">
        <v>2567</v>
      </c>
      <c r="B139" s="105" t="s">
        <v>181</v>
      </c>
      <c r="C139" s="105" t="s">
        <v>287</v>
      </c>
      <c r="D139" s="105" t="s">
        <v>203</v>
      </c>
      <c r="E139" s="105" t="s">
        <v>217</v>
      </c>
      <c r="F139" s="105" t="s">
        <v>437</v>
      </c>
      <c r="G139" s="105" t="s">
        <v>148</v>
      </c>
    </row>
    <row r="140" spans="1:7" x14ac:dyDescent="0.25">
      <c r="A140" s="106">
        <v>2593</v>
      </c>
      <c r="B140" s="105" t="s">
        <v>181</v>
      </c>
      <c r="C140" s="105" t="s">
        <v>287</v>
      </c>
      <c r="D140" s="105" t="s">
        <v>203</v>
      </c>
      <c r="E140" s="105" t="s">
        <v>18</v>
      </c>
      <c r="F140" s="105" t="s">
        <v>438</v>
      </c>
      <c r="G140" s="105" t="s">
        <v>148</v>
      </c>
    </row>
    <row r="141" spans="1:7" x14ac:dyDescent="0.25">
      <c r="A141" s="106">
        <v>2604</v>
      </c>
      <c r="B141" s="105" t="s">
        <v>181</v>
      </c>
      <c r="C141" s="105" t="s">
        <v>287</v>
      </c>
      <c r="D141" s="105" t="s">
        <v>203</v>
      </c>
      <c r="E141" s="105" t="s">
        <v>220</v>
      </c>
      <c r="F141" s="105" t="s">
        <v>439</v>
      </c>
      <c r="G141" s="105" t="s">
        <v>148</v>
      </c>
    </row>
    <row r="142" spans="1:7" x14ac:dyDescent="0.25">
      <c r="A142" s="106">
        <v>2607</v>
      </c>
      <c r="B142" s="105" t="s">
        <v>181</v>
      </c>
      <c r="C142" s="105" t="s">
        <v>287</v>
      </c>
      <c r="D142" s="105" t="s">
        <v>203</v>
      </c>
      <c r="E142" s="105" t="s">
        <v>222</v>
      </c>
      <c r="F142" s="105" t="s">
        <v>440</v>
      </c>
      <c r="G142" s="105" t="s">
        <v>148</v>
      </c>
    </row>
    <row r="143" spans="1:7" x14ac:dyDescent="0.25">
      <c r="A143" s="106">
        <v>2633</v>
      </c>
      <c r="B143" s="105" t="s">
        <v>181</v>
      </c>
      <c r="C143" s="105" t="s">
        <v>287</v>
      </c>
      <c r="D143" s="105" t="s">
        <v>203</v>
      </c>
      <c r="E143" s="105" t="s">
        <v>19</v>
      </c>
      <c r="F143" s="105" t="s">
        <v>441</v>
      </c>
      <c r="G143" s="105" t="s">
        <v>148</v>
      </c>
    </row>
    <row r="144" spans="1:7" x14ac:dyDescent="0.25">
      <c r="A144" s="106">
        <v>2643</v>
      </c>
      <c r="B144" s="105" t="s">
        <v>181</v>
      </c>
      <c r="C144" s="105" t="s">
        <v>287</v>
      </c>
      <c r="D144" s="105" t="s">
        <v>203</v>
      </c>
      <c r="E144" s="105" t="s">
        <v>225</v>
      </c>
      <c r="F144" s="105" t="s">
        <v>442</v>
      </c>
      <c r="G144" s="105" t="s">
        <v>148</v>
      </c>
    </row>
    <row r="145" spans="1:7" x14ac:dyDescent="0.25">
      <c r="A145" s="106">
        <v>2646</v>
      </c>
      <c r="B145" s="105" t="s">
        <v>181</v>
      </c>
      <c r="C145" s="105" t="s">
        <v>287</v>
      </c>
      <c r="D145" s="105" t="s">
        <v>203</v>
      </c>
      <c r="E145" s="105" t="s">
        <v>227</v>
      </c>
      <c r="F145" s="105" t="s">
        <v>443</v>
      </c>
      <c r="G145" s="105" t="s">
        <v>148</v>
      </c>
    </row>
    <row r="146" spans="1:7" x14ac:dyDescent="0.25">
      <c r="A146" s="106">
        <v>2672</v>
      </c>
      <c r="B146" s="105" t="s">
        <v>181</v>
      </c>
      <c r="C146" s="105" t="s">
        <v>287</v>
      </c>
      <c r="D146" s="105" t="s">
        <v>203</v>
      </c>
      <c r="E146" s="105" t="s">
        <v>20</v>
      </c>
      <c r="F146" s="105" t="s">
        <v>444</v>
      </c>
      <c r="G146" s="105" t="s">
        <v>148</v>
      </c>
    </row>
    <row r="147" spans="1:7" x14ac:dyDescent="0.25">
      <c r="A147" s="106">
        <v>2682</v>
      </c>
      <c r="B147" s="105" t="s">
        <v>181</v>
      </c>
      <c r="C147" s="105" t="s">
        <v>287</v>
      </c>
      <c r="D147" s="105" t="s">
        <v>203</v>
      </c>
      <c r="E147" s="105" t="s">
        <v>230</v>
      </c>
      <c r="F147" s="105" t="s">
        <v>445</v>
      </c>
      <c r="G147" s="105" t="s">
        <v>148</v>
      </c>
    </row>
    <row r="148" spans="1:7" x14ac:dyDescent="0.25">
      <c r="A148" s="106">
        <v>2685</v>
      </c>
      <c r="B148" s="105" t="s">
        <v>181</v>
      </c>
      <c r="C148" s="105" t="s">
        <v>287</v>
      </c>
      <c r="D148" s="105" t="s">
        <v>203</v>
      </c>
      <c r="E148" s="105" t="s">
        <v>232</v>
      </c>
      <c r="F148" s="105" t="s">
        <v>446</v>
      </c>
      <c r="G148" s="105" t="s">
        <v>148</v>
      </c>
    </row>
    <row r="149" spans="1:7" x14ac:dyDescent="0.25">
      <c r="A149" s="106">
        <v>2457</v>
      </c>
      <c r="B149" s="105" t="s">
        <v>181</v>
      </c>
      <c r="C149" s="105" t="s">
        <v>290</v>
      </c>
      <c r="D149" s="105" t="s">
        <v>14</v>
      </c>
      <c r="E149" s="105" t="s">
        <v>15</v>
      </c>
      <c r="F149" s="105" t="s">
        <v>411</v>
      </c>
      <c r="G149" s="105" t="s">
        <v>148</v>
      </c>
    </row>
    <row r="150" spans="1:7" x14ac:dyDescent="0.25">
      <c r="A150" s="106">
        <v>2496</v>
      </c>
      <c r="B150" s="105" t="s">
        <v>181</v>
      </c>
      <c r="C150" s="105" t="s">
        <v>290</v>
      </c>
      <c r="D150" s="105" t="s">
        <v>14</v>
      </c>
      <c r="E150" s="105" t="s">
        <v>16</v>
      </c>
      <c r="F150" s="105" t="s">
        <v>412</v>
      </c>
      <c r="G150" s="105" t="s">
        <v>148</v>
      </c>
    </row>
    <row r="151" spans="1:7" x14ac:dyDescent="0.25">
      <c r="A151" s="106">
        <v>2535</v>
      </c>
      <c r="B151" s="105" t="s">
        <v>181</v>
      </c>
      <c r="C151" s="105" t="s">
        <v>290</v>
      </c>
      <c r="D151" s="105" t="s">
        <v>14</v>
      </c>
      <c r="E151" s="105" t="s">
        <v>17</v>
      </c>
      <c r="F151" s="105" t="s">
        <v>413</v>
      </c>
      <c r="G151" s="105" t="s">
        <v>148</v>
      </c>
    </row>
    <row r="152" spans="1:7" x14ac:dyDescent="0.25">
      <c r="A152" s="106">
        <v>2574</v>
      </c>
      <c r="B152" s="105" t="s">
        <v>181</v>
      </c>
      <c r="C152" s="105" t="s">
        <v>290</v>
      </c>
      <c r="D152" s="105" t="s">
        <v>14</v>
      </c>
      <c r="E152" s="105" t="s">
        <v>18</v>
      </c>
      <c r="F152" s="105" t="s">
        <v>414</v>
      </c>
      <c r="G152" s="105" t="s">
        <v>148</v>
      </c>
    </row>
    <row r="153" spans="1:7" x14ac:dyDescent="0.25">
      <c r="A153" s="106">
        <v>2602</v>
      </c>
      <c r="B153" s="105" t="s">
        <v>181</v>
      </c>
      <c r="C153" s="105" t="s">
        <v>290</v>
      </c>
      <c r="D153" s="105" t="s">
        <v>14</v>
      </c>
      <c r="E153" s="105" t="s">
        <v>291</v>
      </c>
      <c r="F153" s="105" t="s">
        <v>499</v>
      </c>
      <c r="G153" s="105" t="s">
        <v>148</v>
      </c>
    </row>
    <row r="154" spans="1:7" x14ac:dyDescent="0.25">
      <c r="A154" s="106">
        <v>2614</v>
      </c>
      <c r="B154" s="105" t="s">
        <v>181</v>
      </c>
      <c r="C154" s="105" t="s">
        <v>290</v>
      </c>
      <c r="D154" s="105" t="s">
        <v>14</v>
      </c>
      <c r="E154" s="105" t="s">
        <v>19</v>
      </c>
      <c r="F154" s="105" t="s">
        <v>415</v>
      </c>
      <c r="G154" s="105" t="s">
        <v>148</v>
      </c>
    </row>
    <row r="155" spans="1:7" x14ac:dyDescent="0.25">
      <c r="A155" s="106">
        <v>2653</v>
      </c>
      <c r="B155" s="105" t="s">
        <v>181</v>
      </c>
      <c r="C155" s="105" t="s">
        <v>290</v>
      </c>
      <c r="D155" s="105" t="s">
        <v>14</v>
      </c>
      <c r="E155" s="105" t="s">
        <v>20</v>
      </c>
      <c r="F155" s="105" t="s">
        <v>416</v>
      </c>
      <c r="G155" s="105" t="s">
        <v>148</v>
      </c>
    </row>
    <row r="156" spans="1:7" x14ac:dyDescent="0.25">
      <c r="A156" s="106">
        <v>2713</v>
      </c>
      <c r="B156" s="105" t="s">
        <v>181</v>
      </c>
      <c r="C156" s="105" t="s">
        <v>290</v>
      </c>
      <c r="D156" s="105" t="s">
        <v>14</v>
      </c>
      <c r="E156" s="105" t="s">
        <v>189</v>
      </c>
      <c r="F156" s="105" t="s">
        <v>417</v>
      </c>
      <c r="G156" s="105" t="s">
        <v>148</v>
      </c>
    </row>
    <row r="157" spans="1:7" x14ac:dyDescent="0.25">
      <c r="A157" s="106">
        <v>2735</v>
      </c>
      <c r="B157" s="105" t="s">
        <v>181</v>
      </c>
      <c r="C157" s="105" t="s">
        <v>290</v>
      </c>
      <c r="D157" s="105" t="s">
        <v>14</v>
      </c>
      <c r="E157" s="105" t="s">
        <v>191</v>
      </c>
      <c r="F157" s="105" t="s">
        <v>418</v>
      </c>
      <c r="G157" s="105" t="s">
        <v>148</v>
      </c>
    </row>
    <row r="158" spans="1:7" x14ac:dyDescent="0.25">
      <c r="A158" s="106">
        <v>2757</v>
      </c>
      <c r="B158" s="105" t="s">
        <v>181</v>
      </c>
      <c r="C158" s="105" t="s">
        <v>290</v>
      </c>
      <c r="D158" s="105" t="s">
        <v>14</v>
      </c>
      <c r="E158" s="105" t="s">
        <v>14</v>
      </c>
      <c r="F158" s="105" t="s">
        <v>419</v>
      </c>
      <c r="G158" s="105" t="s">
        <v>148</v>
      </c>
    </row>
    <row r="159" spans="1:7" x14ac:dyDescent="0.25">
      <c r="A159" s="106">
        <v>2467</v>
      </c>
      <c r="B159" s="105" t="s">
        <v>181</v>
      </c>
      <c r="C159" s="105" t="s">
        <v>290</v>
      </c>
      <c r="D159" s="105" t="s">
        <v>21</v>
      </c>
      <c r="E159" s="105" t="s">
        <v>15</v>
      </c>
      <c r="F159" s="105" t="s">
        <v>420</v>
      </c>
      <c r="G159" s="105" t="s">
        <v>148</v>
      </c>
    </row>
    <row r="160" spans="1:7" x14ac:dyDescent="0.25">
      <c r="A160" s="106">
        <v>2506</v>
      </c>
      <c r="B160" s="105" t="s">
        <v>181</v>
      </c>
      <c r="C160" s="105" t="s">
        <v>290</v>
      </c>
      <c r="D160" s="105" t="s">
        <v>21</v>
      </c>
      <c r="E160" s="105" t="s">
        <v>16</v>
      </c>
      <c r="F160" s="105" t="s">
        <v>421</v>
      </c>
      <c r="G160" s="105" t="s">
        <v>148</v>
      </c>
    </row>
    <row r="161" spans="1:7" x14ac:dyDescent="0.25">
      <c r="A161" s="106">
        <v>2545</v>
      </c>
      <c r="B161" s="105" t="s">
        <v>181</v>
      </c>
      <c r="C161" s="105" t="s">
        <v>290</v>
      </c>
      <c r="D161" s="105" t="s">
        <v>21</v>
      </c>
      <c r="E161" s="105" t="s">
        <v>17</v>
      </c>
      <c r="F161" s="105" t="s">
        <v>422</v>
      </c>
      <c r="G161" s="105" t="s">
        <v>148</v>
      </c>
    </row>
    <row r="162" spans="1:7" x14ac:dyDescent="0.25">
      <c r="A162" s="106">
        <v>2584</v>
      </c>
      <c r="B162" s="105" t="s">
        <v>181</v>
      </c>
      <c r="C162" s="105" t="s">
        <v>290</v>
      </c>
      <c r="D162" s="105" t="s">
        <v>21</v>
      </c>
      <c r="E162" s="105" t="s">
        <v>18</v>
      </c>
      <c r="F162" s="105" t="s">
        <v>423</v>
      </c>
      <c r="G162" s="105" t="s">
        <v>148</v>
      </c>
    </row>
    <row r="163" spans="1:7" x14ac:dyDescent="0.25">
      <c r="A163" s="106">
        <v>2624</v>
      </c>
      <c r="B163" s="105" t="s">
        <v>181</v>
      </c>
      <c r="C163" s="105" t="s">
        <v>290</v>
      </c>
      <c r="D163" s="105" t="s">
        <v>21</v>
      </c>
      <c r="E163" s="105" t="s">
        <v>19</v>
      </c>
      <c r="F163" s="105" t="s">
        <v>424</v>
      </c>
      <c r="G163" s="105" t="s">
        <v>148</v>
      </c>
    </row>
    <row r="164" spans="1:7" x14ac:dyDescent="0.25">
      <c r="A164" s="106">
        <v>2663</v>
      </c>
      <c r="B164" s="105" t="s">
        <v>181</v>
      </c>
      <c r="C164" s="105" t="s">
        <v>290</v>
      </c>
      <c r="D164" s="105" t="s">
        <v>21</v>
      </c>
      <c r="E164" s="105" t="s">
        <v>20</v>
      </c>
      <c r="F164" s="105" t="s">
        <v>425</v>
      </c>
      <c r="G164" s="105" t="s">
        <v>148</v>
      </c>
    </row>
    <row r="165" spans="1:7" x14ac:dyDescent="0.25">
      <c r="A165" s="106">
        <v>2724</v>
      </c>
      <c r="B165" s="105" t="s">
        <v>181</v>
      </c>
      <c r="C165" s="105" t="s">
        <v>290</v>
      </c>
      <c r="D165" s="105" t="s">
        <v>21</v>
      </c>
      <c r="E165" s="105" t="s">
        <v>189</v>
      </c>
      <c r="F165" s="105" t="s">
        <v>426</v>
      </c>
      <c r="G165" s="105" t="s">
        <v>148</v>
      </c>
    </row>
    <row r="166" spans="1:7" x14ac:dyDescent="0.25">
      <c r="A166" s="106">
        <v>2746</v>
      </c>
      <c r="B166" s="105" t="s">
        <v>181</v>
      </c>
      <c r="C166" s="105" t="s">
        <v>290</v>
      </c>
      <c r="D166" s="105" t="s">
        <v>21</v>
      </c>
      <c r="E166" s="105" t="s">
        <v>191</v>
      </c>
      <c r="F166" s="105" t="s">
        <v>427</v>
      </c>
      <c r="G166" s="105" t="s">
        <v>148</v>
      </c>
    </row>
    <row r="167" spans="1:7" x14ac:dyDescent="0.25">
      <c r="A167" s="106">
        <v>2768</v>
      </c>
      <c r="B167" s="105" t="s">
        <v>181</v>
      </c>
      <c r="C167" s="105" t="s">
        <v>290</v>
      </c>
      <c r="D167" s="105" t="s">
        <v>21</v>
      </c>
      <c r="E167" s="105" t="s">
        <v>14</v>
      </c>
      <c r="F167" s="105" t="s">
        <v>428</v>
      </c>
      <c r="G167" s="105" t="s">
        <v>148</v>
      </c>
    </row>
    <row r="168" spans="1:7" x14ac:dyDescent="0.25">
      <c r="A168" s="106">
        <v>2477</v>
      </c>
      <c r="B168" s="105" t="s">
        <v>181</v>
      </c>
      <c r="C168" s="105" t="s">
        <v>290</v>
      </c>
      <c r="D168" s="105" t="s">
        <v>203</v>
      </c>
      <c r="E168" s="105" t="s">
        <v>15</v>
      </c>
      <c r="F168" s="105" t="s">
        <v>429</v>
      </c>
      <c r="G168" s="105" t="s">
        <v>148</v>
      </c>
    </row>
    <row r="169" spans="1:7" x14ac:dyDescent="0.25">
      <c r="A169" s="106">
        <v>2483</v>
      </c>
      <c r="B169" s="105" t="s">
        <v>181</v>
      </c>
      <c r="C169" s="105" t="s">
        <v>290</v>
      </c>
      <c r="D169" s="105" t="s">
        <v>203</v>
      </c>
      <c r="E169" s="105" t="s">
        <v>293</v>
      </c>
      <c r="F169" s="105" t="s">
        <v>430</v>
      </c>
      <c r="G169" s="105" t="s">
        <v>148</v>
      </c>
    </row>
    <row r="170" spans="1:7" x14ac:dyDescent="0.25">
      <c r="A170" s="106">
        <v>2484</v>
      </c>
      <c r="B170" s="105" t="s">
        <v>181</v>
      </c>
      <c r="C170" s="105" t="s">
        <v>290</v>
      </c>
      <c r="D170" s="105" t="s">
        <v>203</v>
      </c>
      <c r="E170" s="105" t="s">
        <v>294</v>
      </c>
      <c r="F170" s="105" t="s">
        <v>431</v>
      </c>
      <c r="G170" s="105" t="s">
        <v>148</v>
      </c>
    </row>
    <row r="171" spans="1:7" x14ac:dyDescent="0.25">
      <c r="A171" s="106">
        <v>2516</v>
      </c>
      <c r="B171" s="105" t="s">
        <v>181</v>
      </c>
      <c r="C171" s="105" t="s">
        <v>290</v>
      </c>
      <c r="D171" s="105" t="s">
        <v>203</v>
      </c>
      <c r="E171" s="105" t="s">
        <v>16</v>
      </c>
      <c r="F171" s="105" t="s">
        <v>432</v>
      </c>
      <c r="G171" s="105" t="s">
        <v>148</v>
      </c>
    </row>
    <row r="172" spans="1:7" x14ac:dyDescent="0.25">
      <c r="A172" s="106">
        <v>2522</v>
      </c>
      <c r="B172" s="105" t="s">
        <v>181</v>
      </c>
      <c r="C172" s="105" t="s">
        <v>290</v>
      </c>
      <c r="D172" s="105" t="s">
        <v>203</v>
      </c>
      <c r="E172" s="105" t="s">
        <v>295</v>
      </c>
      <c r="F172" s="105" t="s">
        <v>433</v>
      </c>
      <c r="G172" s="105" t="s">
        <v>148</v>
      </c>
    </row>
    <row r="173" spans="1:7" x14ac:dyDescent="0.25">
      <c r="A173" s="106">
        <v>2523</v>
      </c>
      <c r="B173" s="105" t="s">
        <v>181</v>
      </c>
      <c r="C173" s="105" t="s">
        <v>290</v>
      </c>
      <c r="D173" s="105" t="s">
        <v>203</v>
      </c>
      <c r="E173" s="105" t="s">
        <v>296</v>
      </c>
      <c r="F173" s="105" t="s">
        <v>434</v>
      </c>
      <c r="G173" s="105" t="s">
        <v>148</v>
      </c>
    </row>
    <row r="174" spans="1:7" x14ac:dyDescent="0.25">
      <c r="A174" s="106">
        <v>2555</v>
      </c>
      <c r="B174" s="105" t="s">
        <v>181</v>
      </c>
      <c r="C174" s="105" t="s">
        <v>290</v>
      </c>
      <c r="D174" s="105" t="s">
        <v>203</v>
      </c>
      <c r="E174" s="105" t="s">
        <v>17</v>
      </c>
      <c r="F174" s="105" t="s">
        <v>435</v>
      </c>
      <c r="G174" s="105" t="s">
        <v>148</v>
      </c>
    </row>
    <row r="175" spans="1:7" x14ac:dyDescent="0.25">
      <c r="A175" s="106">
        <v>2561</v>
      </c>
      <c r="B175" s="105" t="s">
        <v>181</v>
      </c>
      <c r="C175" s="105" t="s">
        <v>290</v>
      </c>
      <c r="D175" s="105" t="s">
        <v>203</v>
      </c>
      <c r="E175" s="105" t="s">
        <v>297</v>
      </c>
      <c r="F175" s="105" t="s">
        <v>436</v>
      </c>
      <c r="G175" s="105" t="s">
        <v>148</v>
      </c>
    </row>
    <row r="176" spans="1:7" x14ac:dyDescent="0.25">
      <c r="A176" s="106">
        <v>2562</v>
      </c>
      <c r="B176" s="105" t="s">
        <v>181</v>
      </c>
      <c r="C176" s="105" t="s">
        <v>290</v>
      </c>
      <c r="D176" s="105" t="s">
        <v>203</v>
      </c>
      <c r="E176" s="105" t="s">
        <v>298</v>
      </c>
      <c r="F176" s="105" t="s">
        <v>437</v>
      </c>
      <c r="G176" s="105" t="s">
        <v>148</v>
      </c>
    </row>
    <row r="177" spans="1:7" x14ac:dyDescent="0.25">
      <c r="A177" s="106">
        <v>2594</v>
      </c>
      <c r="B177" s="105" t="s">
        <v>181</v>
      </c>
      <c r="C177" s="105" t="s">
        <v>290</v>
      </c>
      <c r="D177" s="105" t="s">
        <v>203</v>
      </c>
      <c r="E177" s="105" t="s">
        <v>18</v>
      </c>
      <c r="F177" s="105" t="s">
        <v>438</v>
      </c>
      <c r="G177" s="105" t="s">
        <v>148</v>
      </c>
    </row>
    <row r="178" spans="1:7" x14ac:dyDescent="0.25">
      <c r="A178" s="106">
        <v>2600</v>
      </c>
      <c r="B178" s="105" t="s">
        <v>181</v>
      </c>
      <c r="C178" s="105" t="s">
        <v>290</v>
      </c>
      <c r="D178" s="105" t="s">
        <v>203</v>
      </c>
      <c r="E178" s="105" t="s">
        <v>299</v>
      </c>
      <c r="F178" s="105" t="s">
        <v>439</v>
      </c>
      <c r="G178" s="105" t="s">
        <v>148</v>
      </c>
    </row>
    <row r="179" spans="1:7" x14ac:dyDescent="0.25">
      <c r="A179" s="106">
        <v>2601</v>
      </c>
      <c r="B179" s="105" t="s">
        <v>181</v>
      </c>
      <c r="C179" s="105" t="s">
        <v>290</v>
      </c>
      <c r="D179" s="105" t="s">
        <v>203</v>
      </c>
      <c r="E179" s="105" t="s">
        <v>300</v>
      </c>
      <c r="F179" s="105" t="s">
        <v>440</v>
      </c>
      <c r="G179" s="105" t="s">
        <v>148</v>
      </c>
    </row>
    <row r="180" spans="1:7" x14ac:dyDescent="0.25">
      <c r="A180" s="106">
        <v>2634</v>
      </c>
      <c r="B180" s="105" t="s">
        <v>181</v>
      </c>
      <c r="C180" s="105" t="s">
        <v>290</v>
      </c>
      <c r="D180" s="105" t="s">
        <v>203</v>
      </c>
      <c r="E180" s="105" t="s">
        <v>19</v>
      </c>
      <c r="F180" s="105" t="s">
        <v>441</v>
      </c>
      <c r="G180" s="105" t="s">
        <v>148</v>
      </c>
    </row>
    <row r="181" spans="1:7" x14ac:dyDescent="0.25">
      <c r="A181" s="106">
        <v>2640</v>
      </c>
      <c r="B181" s="105" t="s">
        <v>181</v>
      </c>
      <c r="C181" s="105" t="s">
        <v>290</v>
      </c>
      <c r="D181" s="105" t="s">
        <v>203</v>
      </c>
      <c r="E181" s="105" t="s">
        <v>301</v>
      </c>
      <c r="F181" s="105" t="s">
        <v>442</v>
      </c>
      <c r="G181" s="105" t="s">
        <v>148</v>
      </c>
    </row>
    <row r="182" spans="1:7" x14ac:dyDescent="0.25">
      <c r="A182" s="106">
        <v>2641</v>
      </c>
      <c r="B182" s="105" t="s">
        <v>181</v>
      </c>
      <c r="C182" s="105" t="s">
        <v>290</v>
      </c>
      <c r="D182" s="105" t="s">
        <v>203</v>
      </c>
      <c r="E182" s="105" t="s">
        <v>302</v>
      </c>
      <c r="F182" s="105" t="s">
        <v>443</v>
      </c>
      <c r="G182" s="105" t="s">
        <v>148</v>
      </c>
    </row>
    <row r="183" spans="1:7" x14ac:dyDescent="0.25">
      <c r="A183" s="106">
        <v>2673</v>
      </c>
      <c r="B183" s="105" t="s">
        <v>181</v>
      </c>
      <c r="C183" s="105" t="s">
        <v>290</v>
      </c>
      <c r="D183" s="105" t="s">
        <v>203</v>
      </c>
      <c r="E183" s="105" t="s">
        <v>20</v>
      </c>
      <c r="F183" s="105" t="s">
        <v>444</v>
      </c>
      <c r="G183" s="105" t="s">
        <v>148</v>
      </c>
    </row>
    <row r="184" spans="1:7" x14ac:dyDescent="0.25">
      <c r="A184" s="106">
        <v>2679</v>
      </c>
      <c r="B184" s="105" t="s">
        <v>181</v>
      </c>
      <c r="C184" s="105" t="s">
        <v>290</v>
      </c>
      <c r="D184" s="105" t="s">
        <v>203</v>
      </c>
      <c r="E184" s="105" t="s">
        <v>303</v>
      </c>
      <c r="F184" s="105" t="s">
        <v>445</v>
      </c>
      <c r="G184" s="105" t="s">
        <v>148</v>
      </c>
    </row>
    <row r="185" spans="1:7" x14ac:dyDescent="0.25">
      <c r="A185" s="106">
        <v>2680</v>
      </c>
      <c r="B185" s="105" t="s">
        <v>181</v>
      </c>
      <c r="C185" s="105" t="s">
        <v>290</v>
      </c>
      <c r="D185" s="105" t="s">
        <v>203</v>
      </c>
      <c r="E185" s="105" t="s">
        <v>304</v>
      </c>
      <c r="F185" s="105" t="s">
        <v>446</v>
      </c>
      <c r="G185" s="105" t="s">
        <v>148</v>
      </c>
    </row>
    <row r="186" spans="1:7" x14ac:dyDescent="0.25">
      <c r="A186" s="106">
        <v>2458</v>
      </c>
      <c r="B186" s="105" t="s">
        <v>181</v>
      </c>
      <c r="C186" s="105" t="s">
        <v>305</v>
      </c>
      <c r="D186" s="105" t="s">
        <v>14</v>
      </c>
      <c r="E186" s="105" t="s">
        <v>15</v>
      </c>
      <c r="F186" s="105" t="s">
        <v>500</v>
      </c>
      <c r="G186" s="105" t="s">
        <v>148</v>
      </c>
    </row>
    <row r="187" spans="1:7" x14ac:dyDescent="0.25">
      <c r="A187" s="106">
        <v>2497</v>
      </c>
      <c r="B187" s="105" t="s">
        <v>181</v>
      </c>
      <c r="C187" s="105" t="s">
        <v>305</v>
      </c>
      <c r="D187" s="105" t="s">
        <v>14</v>
      </c>
      <c r="E187" s="105" t="s">
        <v>16</v>
      </c>
      <c r="F187" s="105" t="s">
        <v>501</v>
      </c>
      <c r="G187" s="105" t="s">
        <v>148</v>
      </c>
    </row>
    <row r="188" spans="1:7" x14ac:dyDescent="0.25">
      <c r="A188" s="106">
        <v>2536</v>
      </c>
      <c r="B188" s="105" t="s">
        <v>181</v>
      </c>
      <c r="C188" s="105" t="s">
        <v>305</v>
      </c>
      <c r="D188" s="105" t="s">
        <v>14</v>
      </c>
      <c r="E188" s="105" t="s">
        <v>17</v>
      </c>
      <c r="F188" s="105" t="s">
        <v>502</v>
      </c>
      <c r="G188" s="105" t="s">
        <v>148</v>
      </c>
    </row>
    <row r="189" spans="1:7" x14ac:dyDescent="0.25">
      <c r="A189" s="106">
        <v>2575</v>
      </c>
      <c r="B189" s="105" t="s">
        <v>181</v>
      </c>
      <c r="C189" s="105" t="s">
        <v>305</v>
      </c>
      <c r="D189" s="105" t="s">
        <v>14</v>
      </c>
      <c r="E189" s="105" t="s">
        <v>18</v>
      </c>
      <c r="F189" s="105" t="s">
        <v>450</v>
      </c>
      <c r="G189" s="105" t="s">
        <v>148</v>
      </c>
    </row>
    <row r="190" spans="1:7" x14ac:dyDescent="0.25">
      <c r="A190" s="106">
        <v>2615</v>
      </c>
      <c r="B190" s="105" t="s">
        <v>181</v>
      </c>
      <c r="C190" s="105" t="s">
        <v>305</v>
      </c>
      <c r="D190" s="105" t="s">
        <v>14</v>
      </c>
      <c r="E190" s="105" t="s">
        <v>19</v>
      </c>
      <c r="F190" s="105" t="s">
        <v>451</v>
      </c>
      <c r="G190" s="105" t="s">
        <v>148</v>
      </c>
    </row>
    <row r="191" spans="1:7" x14ac:dyDescent="0.25">
      <c r="A191" s="106">
        <v>2654</v>
      </c>
      <c r="B191" s="105" t="s">
        <v>181</v>
      </c>
      <c r="C191" s="105" t="s">
        <v>305</v>
      </c>
      <c r="D191" s="105" t="s">
        <v>14</v>
      </c>
      <c r="E191" s="105" t="s">
        <v>20</v>
      </c>
      <c r="F191" s="105" t="s">
        <v>503</v>
      </c>
      <c r="G191" s="105" t="s">
        <v>148</v>
      </c>
    </row>
    <row r="192" spans="1:7" x14ac:dyDescent="0.25">
      <c r="A192" s="106">
        <v>2714</v>
      </c>
      <c r="B192" s="105" t="s">
        <v>181</v>
      </c>
      <c r="C192" s="105" t="s">
        <v>305</v>
      </c>
      <c r="D192" s="105" t="s">
        <v>14</v>
      </c>
      <c r="E192" s="105" t="s">
        <v>189</v>
      </c>
      <c r="F192" s="105" t="s">
        <v>504</v>
      </c>
      <c r="G192" s="105" t="s">
        <v>148</v>
      </c>
    </row>
    <row r="193" spans="1:7" x14ac:dyDescent="0.25">
      <c r="A193" s="106">
        <v>2736</v>
      </c>
      <c r="B193" s="105" t="s">
        <v>181</v>
      </c>
      <c r="C193" s="105" t="s">
        <v>305</v>
      </c>
      <c r="D193" s="105" t="s">
        <v>14</v>
      </c>
      <c r="E193" s="105" t="s">
        <v>191</v>
      </c>
      <c r="F193" s="105" t="s">
        <v>505</v>
      </c>
      <c r="G193" s="105" t="s">
        <v>148</v>
      </c>
    </row>
    <row r="194" spans="1:7" x14ac:dyDescent="0.25">
      <c r="A194" s="106">
        <v>2758</v>
      </c>
      <c r="B194" s="105" t="s">
        <v>181</v>
      </c>
      <c r="C194" s="105" t="s">
        <v>305</v>
      </c>
      <c r="D194" s="105" t="s">
        <v>14</v>
      </c>
      <c r="E194" s="105" t="s">
        <v>14</v>
      </c>
      <c r="F194" s="105" t="s">
        <v>506</v>
      </c>
      <c r="G194" s="105" t="s">
        <v>148</v>
      </c>
    </row>
    <row r="195" spans="1:7" x14ac:dyDescent="0.25">
      <c r="A195" s="106">
        <v>2468</v>
      </c>
      <c r="B195" s="105" t="s">
        <v>181</v>
      </c>
      <c r="C195" s="105" t="s">
        <v>305</v>
      </c>
      <c r="D195" s="105" t="s">
        <v>21</v>
      </c>
      <c r="E195" s="105" t="s">
        <v>15</v>
      </c>
      <c r="F195" s="105" t="s">
        <v>507</v>
      </c>
      <c r="G195" s="105" t="s">
        <v>148</v>
      </c>
    </row>
    <row r="196" spans="1:7" x14ac:dyDescent="0.25">
      <c r="A196" s="106">
        <v>2507</v>
      </c>
      <c r="B196" s="105" t="s">
        <v>181</v>
      </c>
      <c r="C196" s="105" t="s">
        <v>305</v>
      </c>
      <c r="D196" s="105" t="s">
        <v>21</v>
      </c>
      <c r="E196" s="105" t="s">
        <v>16</v>
      </c>
      <c r="F196" s="105" t="s">
        <v>508</v>
      </c>
      <c r="G196" s="105" t="s">
        <v>148</v>
      </c>
    </row>
    <row r="197" spans="1:7" x14ac:dyDescent="0.25">
      <c r="A197" s="106">
        <v>2546</v>
      </c>
      <c r="B197" s="105" t="s">
        <v>181</v>
      </c>
      <c r="C197" s="105" t="s">
        <v>305</v>
      </c>
      <c r="D197" s="105" t="s">
        <v>21</v>
      </c>
      <c r="E197" s="105" t="s">
        <v>17</v>
      </c>
      <c r="F197" s="105" t="s">
        <v>509</v>
      </c>
      <c r="G197" s="105" t="s">
        <v>148</v>
      </c>
    </row>
    <row r="198" spans="1:7" x14ac:dyDescent="0.25">
      <c r="A198" s="106">
        <v>2585</v>
      </c>
      <c r="B198" s="105" t="s">
        <v>181</v>
      </c>
      <c r="C198" s="105" t="s">
        <v>305</v>
      </c>
      <c r="D198" s="105" t="s">
        <v>21</v>
      </c>
      <c r="E198" s="105" t="s">
        <v>18</v>
      </c>
      <c r="F198" s="105" t="s">
        <v>510</v>
      </c>
      <c r="G198" s="105" t="s">
        <v>148</v>
      </c>
    </row>
    <row r="199" spans="1:7" x14ac:dyDescent="0.25">
      <c r="A199" s="106">
        <v>2625</v>
      </c>
      <c r="B199" s="105" t="s">
        <v>181</v>
      </c>
      <c r="C199" s="105" t="s">
        <v>305</v>
      </c>
      <c r="D199" s="105" t="s">
        <v>21</v>
      </c>
      <c r="E199" s="105" t="s">
        <v>19</v>
      </c>
      <c r="F199" s="105" t="s">
        <v>511</v>
      </c>
      <c r="G199" s="105" t="s">
        <v>148</v>
      </c>
    </row>
    <row r="200" spans="1:7" x14ac:dyDescent="0.25">
      <c r="A200" s="106">
        <v>2664</v>
      </c>
      <c r="B200" s="105" t="s">
        <v>181</v>
      </c>
      <c r="C200" s="105" t="s">
        <v>305</v>
      </c>
      <c r="D200" s="105" t="s">
        <v>21</v>
      </c>
      <c r="E200" s="105" t="s">
        <v>20</v>
      </c>
      <c r="F200" s="105" t="s">
        <v>512</v>
      </c>
      <c r="G200" s="105" t="s">
        <v>148</v>
      </c>
    </row>
    <row r="201" spans="1:7" x14ac:dyDescent="0.25">
      <c r="A201" s="106">
        <v>2725</v>
      </c>
      <c r="B201" s="105" t="s">
        <v>181</v>
      </c>
      <c r="C201" s="105" t="s">
        <v>305</v>
      </c>
      <c r="D201" s="105" t="s">
        <v>21</v>
      </c>
      <c r="E201" s="105" t="s">
        <v>189</v>
      </c>
      <c r="F201" s="105" t="s">
        <v>513</v>
      </c>
      <c r="G201" s="105" t="s">
        <v>148</v>
      </c>
    </row>
    <row r="202" spans="1:7" x14ac:dyDescent="0.25">
      <c r="A202" s="106">
        <v>2747</v>
      </c>
      <c r="B202" s="105" t="s">
        <v>181</v>
      </c>
      <c r="C202" s="105" t="s">
        <v>305</v>
      </c>
      <c r="D202" s="105" t="s">
        <v>21</v>
      </c>
      <c r="E202" s="105" t="s">
        <v>191</v>
      </c>
      <c r="F202" s="105" t="s">
        <v>514</v>
      </c>
      <c r="G202" s="105" t="s">
        <v>148</v>
      </c>
    </row>
    <row r="203" spans="1:7" x14ac:dyDescent="0.25">
      <c r="A203" s="106">
        <v>2769</v>
      </c>
      <c r="B203" s="105" t="s">
        <v>181</v>
      </c>
      <c r="C203" s="105" t="s">
        <v>305</v>
      </c>
      <c r="D203" s="105" t="s">
        <v>21</v>
      </c>
      <c r="E203" s="105" t="s">
        <v>14</v>
      </c>
      <c r="F203" s="105" t="s">
        <v>515</v>
      </c>
      <c r="G203" s="105" t="s">
        <v>148</v>
      </c>
    </row>
    <row r="204" spans="1:7" x14ac:dyDescent="0.25">
      <c r="A204" s="106">
        <v>2478</v>
      </c>
      <c r="B204" s="105" t="s">
        <v>181</v>
      </c>
      <c r="C204" s="105" t="s">
        <v>305</v>
      </c>
      <c r="D204" s="105" t="s">
        <v>203</v>
      </c>
      <c r="E204" s="105" t="s">
        <v>15</v>
      </c>
      <c r="F204" s="105" t="s">
        <v>516</v>
      </c>
      <c r="G204" s="105" t="s">
        <v>148</v>
      </c>
    </row>
    <row r="205" spans="1:7" x14ac:dyDescent="0.25">
      <c r="A205" s="106">
        <v>2490</v>
      </c>
      <c r="B205" s="105" t="s">
        <v>181</v>
      </c>
      <c r="C205" s="105" t="s">
        <v>305</v>
      </c>
      <c r="D205" s="105" t="s">
        <v>203</v>
      </c>
      <c r="E205" s="105" t="s">
        <v>207</v>
      </c>
      <c r="F205" s="105" t="s">
        <v>463</v>
      </c>
      <c r="G205" s="105" t="s">
        <v>148</v>
      </c>
    </row>
    <row r="206" spans="1:7" x14ac:dyDescent="0.25">
      <c r="A206" s="106">
        <v>2517</v>
      </c>
      <c r="B206" s="105" t="s">
        <v>181</v>
      </c>
      <c r="C206" s="105" t="s">
        <v>305</v>
      </c>
      <c r="D206" s="105" t="s">
        <v>203</v>
      </c>
      <c r="E206" s="105" t="s">
        <v>16</v>
      </c>
      <c r="F206" s="105" t="s">
        <v>517</v>
      </c>
      <c r="G206" s="105" t="s">
        <v>148</v>
      </c>
    </row>
    <row r="207" spans="1:7" x14ac:dyDescent="0.25">
      <c r="A207" s="106">
        <v>2529</v>
      </c>
      <c r="B207" s="105" t="s">
        <v>181</v>
      </c>
      <c r="C207" s="105" t="s">
        <v>305</v>
      </c>
      <c r="D207" s="105" t="s">
        <v>203</v>
      </c>
      <c r="E207" s="105" t="s">
        <v>212</v>
      </c>
      <c r="F207" s="105" t="s">
        <v>465</v>
      </c>
      <c r="G207" s="105" t="s">
        <v>148</v>
      </c>
    </row>
    <row r="208" spans="1:7" x14ac:dyDescent="0.25">
      <c r="A208" s="106">
        <v>2556</v>
      </c>
      <c r="B208" s="105" t="s">
        <v>181</v>
      </c>
      <c r="C208" s="105" t="s">
        <v>305</v>
      </c>
      <c r="D208" s="105" t="s">
        <v>203</v>
      </c>
      <c r="E208" s="105" t="s">
        <v>17</v>
      </c>
      <c r="F208" s="105" t="s">
        <v>518</v>
      </c>
      <c r="G208" s="105" t="s">
        <v>148</v>
      </c>
    </row>
    <row r="209" spans="1:7" x14ac:dyDescent="0.25">
      <c r="A209" s="106">
        <v>2568</v>
      </c>
      <c r="B209" s="105" t="s">
        <v>181</v>
      </c>
      <c r="C209" s="105" t="s">
        <v>305</v>
      </c>
      <c r="D209" s="105" t="s">
        <v>203</v>
      </c>
      <c r="E209" s="105" t="s">
        <v>217</v>
      </c>
      <c r="F209" s="105" t="s">
        <v>467</v>
      </c>
      <c r="G209" s="105" t="s">
        <v>148</v>
      </c>
    </row>
    <row r="210" spans="1:7" x14ac:dyDescent="0.25">
      <c r="A210" s="106">
        <v>2595</v>
      </c>
      <c r="B210" s="105" t="s">
        <v>181</v>
      </c>
      <c r="C210" s="105" t="s">
        <v>305</v>
      </c>
      <c r="D210" s="105" t="s">
        <v>203</v>
      </c>
      <c r="E210" s="105" t="s">
        <v>18</v>
      </c>
      <c r="F210" s="105" t="s">
        <v>519</v>
      </c>
      <c r="G210" s="105" t="s">
        <v>148</v>
      </c>
    </row>
    <row r="211" spans="1:7" x14ac:dyDescent="0.25">
      <c r="A211" s="106">
        <v>2608</v>
      </c>
      <c r="B211" s="105" t="s">
        <v>181</v>
      </c>
      <c r="C211" s="105" t="s">
        <v>305</v>
      </c>
      <c r="D211" s="105" t="s">
        <v>203</v>
      </c>
      <c r="E211" s="105" t="s">
        <v>222</v>
      </c>
      <c r="F211" s="105" t="s">
        <v>469</v>
      </c>
      <c r="G211" s="105" t="s">
        <v>148</v>
      </c>
    </row>
    <row r="212" spans="1:7" x14ac:dyDescent="0.25">
      <c r="A212" s="106">
        <v>2635</v>
      </c>
      <c r="B212" s="105" t="s">
        <v>181</v>
      </c>
      <c r="C212" s="105" t="s">
        <v>305</v>
      </c>
      <c r="D212" s="105" t="s">
        <v>203</v>
      </c>
      <c r="E212" s="105" t="s">
        <v>19</v>
      </c>
      <c r="F212" s="105" t="s">
        <v>520</v>
      </c>
      <c r="G212" s="105" t="s">
        <v>148</v>
      </c>
    </row>
    <row r="213" spans="1:7" x14ac:dyDescent="0.25">
      <c r="A213" s="106">
        <v>2647</v>
      </c>
      <c r="B213" s="105" t="s">
        <v>181</v>
      </c>
      <c r="C213" s="105" t="s">
        <v>305</v>
      </c>
      <c r="D213" s="105" t="s">
        <v>203</v>
      </c>
      <c r="E213" s="105" t="s">
        <v>227</v>
      </c>
      <c r="F213" s="105" t="s">
        <v>471</v>
      </c>
      <c r="G213" s="105" t="s">
        <v>148</v>
      </c>
    </row>
    <row r="214" spans="1:7" x14ac:dyDescent="0.25">
      <c r="A214" s="106">
        <v>2674</v>
      </c>
      <c r="B214" s="105" t="s">
        <v>181</v>
      </c>
      <c r="C214" s="105" t="s">
        <v>305</v>
      </c>
      <c r="D214" s="105" t="s">
        <v>203</v>
      </c>
      <c r="E214" s="105" t="s">
        <v>20</v>
      </c>
      <c r="F214" s="105" t="s">
        <v>521</v>
      </c>
      <c r="G214" s="105" t="s">
        <v>148</v>
      </c>
    </row>
    <row r="215" spans="1:7" x14ac:dyDescent="0.25">
      <c r="A215" s="106">
        <v>2686</v>
      </c>
      <c r="B215" s="105" t="s">
        <v>181</v>
      </c>
      <c r="C215" s="105" t="s">
        <v>305</v>
      </c>
      <c r="D215" s="105" t="s">
        <v>203</v>
      </c>
      <c r="E215" s="105" t="s">
        <v>232</v>
      </c>
      <c r="F215" s="105" t="s">
        <v>473</v>
      </c>
      <c r="G215" s="105" t="s">
        <v>148</v>
      </c>
    </row>
    <row r="216" spans="1:7" x14ac:dyDescent="0.25">
      <c r="A216" s="106">
        <v>2459</v>
      </c>
      <c r="B216" s="105" t="s">
        <v>181</v>
      </c>
      <c r="C216" s="105" t="s">
        <v>328</v>
      </c>
      <c r="D216" s="105" t="s">
        <v>14</v>
      </c>
      <c r="E216" s="105" t="s">
        <v>15</v>
      </c>
      <c r="F216" s="105" t="s">
        <v>522</v>
      </c>
      <c r="G216" s="105" t="s">
        <v>148</v>
      </c>
    </row>
    <row r="217" spans="1:7" x14ac:dyDescent="0.25">
      <c r="A217" s="106">
        <v>2498</v>
      </c>
      <c r="B217" s="105" t="s">
        <v>181</v>
      </c>
      <c r="C217" s="105" t="s">
        <v>328</v>
      </c>
      <c r="D217" s="105" t="s">
        <v>14</v>
      </c>
      <c r="E217" s="105" t="s">
        <v>16</v>
      </c>
      <c r="F217" s="105" t="s">
        <v>523</v>
      </c>
      <c r="G217" s="105" t="s">
        <v>148</v>
      </c>
    </row>
    <row r="218" spans="1:7" x14ac:dyDescent="0.25">
      <c r="A218" s="106">
        <v>2537</v>
      </c>
      <c r="B218" s="105" t="s">
        <v>181</v>
      </c>
      <c r="C218" s="105" t="s">
        <v>328</v>
      </c>
      <c r="D218" s="105" t="s">
        <v>14</v>
      </c>
      <c r="E218" s="105" t="s">
        <v>17</v>
      </c>
      <c r="F218" s="105" t="s">
        <v>524</v>
      </c>
      <c r="G218" s="105" t="s">
        <v>148</v>
      </c>
    </row>
    <row r="219" spans="1:7" x14ac:dyDescent="0.25">
      <c r="A219" s="106">
        <v>2576</v>
      </c>
      <c r="B219" s="105" t="s">
        <v>181</v>
      </c>
      <c r="C219" s="105" t="s">
        <v>328</v>
      </c>
      <c r="D219" s="105" t="s">
        <v>14</v>
      </c>
      <c r="E219" s="105" t="s">
        <v>18</v>
      </c>
      <c r="F219" s="105" t="s">
        <v>525</v>
      </c>
      <c r="G219" s="105" t="s">
        <v>148</v>
      </c>
    </row>
    <row r="220" spans="1:7" x14ac:dyDescent="0.25">
      <c r="A220" s="106">
        <v>2616</v>
      </c>
      <c r="B220" s="105" t="s">
        <v>181</v>
      </c>
      <c r="C220" s="105" t="s">
        <v>328</v>
      </c>
      <c r="D220" s="105" t="s">
        <v>14</v>
      </c>
      <c r="E220" s="105" t="s">
        <v>19</v>
      </c>
      <c r="F220" s="105" t="s">
        <v>526</v>
      </c>
      <c r="G220" s="105" t="s">
        <v>148</v>
      </c>
    </row>
    <row r="221" spans="1:7" x14ac:dyDescent="0.25">
      <c r="A221" s="106">
        <v>2655</v>
      </c>
      <c r="B221" s="105" t="s">
        <v>181</v>
      </c>
      <c r="C221" s="105" t="s">
        <v>328</v>
      </c>
      <c r="D221" s="105" t="s">
        <v>14</v>
      </c>
      <c r="E221" s="105" t="s">
        <v>20</v>
      </c>
      <c r="F221" s="105" t="s">
        <v>527</v>
      </c>
      <c r="G221" s="105" t="s">
        <v>148</v>
      </c>
    </row>
    <row r="222" spans="1:7" x14ac:dyDescent="0.25">
      <c r="A222" s="106">
        <v>2715</v>
      </c>
      <c r="B222" s="105" t="s">
        <v>181</v>
      </c>
      <c r="C222" s="105" t="s">
        <v>328</v>
      </c>
      <c r="D222" s="105" t="s">
        <v>14</v>
      </c>
      <c r="E222" s="105" t="s">
        <v>189</v>
      </c>
      <c r="F222" s="105" t="s">
        <v>528</v>
      </c>
      <c r="G222" s="105" t="s">
        <v>148</v>
      </c>
    </row>
    <row r="223" spans="1:7" x14ac:dyDescent="0.25">
      <c r="A223" s="106">
        <v>2737</v>
      </c>
      <c r="B223" s="105" t="s">
        <v>181</v>
      </c>
      <c r="C223" s="105" t="s">
        <v>328</v>
      </c>
      <c r="D223" s="105" t="s">
        <v>14</v>
      </c>
      <c r="E223" s="105" t="s">
        <v>191</v>
      </c>
      <c r="F223" s="105" t="s">
        <v>529</v>
      </c>
      <c r="G223" s="105" t="s">
        <v>148</v>
      </c>
    </row>
    <row r="224" spans="1:7" x14ac:dyDescent="0.25">
      <c r="A224" s="106">
        <v>2759</v>
      </c>
      <c r="B224" s="105" t="s">
        <v>181</v>
      </c>
      <c r="C224" s="105" t="s">
        <v>328</v>
      </c>
      <c r="D224" s="105" t="s">
        <v>14</v>
      </c>
      <c r="E224" s="105" t="s">
        <v>14</v>
      </c>
      <c r="F224" s="105" t="s">
        <v>530</v>
      </c>
      <c r="G224" s="105" t="s">
        <v>148</v>
      </c>
    </row>
    <row r="225" spans="1:7" x14ac:dyDescent="0.25">
      <c r="A225" s="106">
        <v>2469</v>
      </c>
      <c r="B225" s="105" t="s">
        <v>181</v>
      </c>
      <c r="C225" s="105" t="s">
        <v>328</v>
      </c>
      <c r="D225" s="105" t="s">
        <v>21</v>
      </c>
      <c r="E225" s="105" t="s">
        <v>15</v>
      </c>
      <c r="F225" s="105" t="s">
        <v>531</v>
      </c>
      <c r="G225" s="105" t="s">
        <v>148</v>
      </c>
    </row>
    <row r="226" spans="1:7" x14ac:dyDescent="0.25">
      <c r="A226" s="106">
        <v>2508</v>
      </c>
      <c r="B226" s="105" t="s">
        <v>181</v>
      </c>
      <c r="C226" s="105" t="s">
        <v>328</v>
      </c>
      <c r="D226" s="105" t="s">
        <v>21</v>
      </c>
      <c r="E226" s="105" t="s">
        <v>16</v>
      </c>
      <c r="F226" s="105" t="s">
        <v>532</v>
      </c>
      <c r="G226" s="105" t="s">
        <v>148</v>
      </c>
    </row>
    <row r="227" spans="1:7" x14ac:dyDescent="0.25">
      <c r="A227" s="106">
        <v>2547</v>
      </c>
      <c r="B227" s="105" t="s">
        <v>181</v>
      </c>
      <c r="C227" s="105" t="s">
        <v>328</v>
      </c>
      <c r="D227" s="105" t="s">
        <v>21</v>
      </c>
      <c r="E227" s="105" t="s">
        <v>17</v>
      </c>
      <c r="F227" s="105" t="s">
        <v>533</v>
      </c>
      <c r="G227" s="105" t="s">
        <v>148</v>
      </c>
    </row>
    <row r="228" spans="1:7" x14ac:dyDescent="0.25">
      <c r="A228" s="106">
        <v>2586</v>
      </c>
      <c r="B228" s="105" t="s">
        <v>181</v>
      </c>
      <c r="C228" s="105" t="s">
        <v>328</v>
      </c>
      <c r="D228" s="105" t="s">
        <v>21</v>
      </c>
      <c r="E228" s="105" t="s">
        <v>18</v>
      </c>
      <c r="F228" s="105" t="s">
        <v>534</v>
      </c>
      <c r="G228" s="105" t="s">
        <v>148</v>
      </c>
    </row>
    <row r="229" spans="1:7" x14ac:dyDescent="0.25">
      <c r="A229" s="106">
        <v>2626</v>
      </c>
      <c r="B229" s="105" t="s">
        <v>181</v>
      </c>
      <c r="C229" s="105" t="s">
        <v>328</v>
      </c>
      <c r="D229" s="105" t="s">
        <v>21</v>
      </c>
      <c r="E229" s="105" t="s">
        <v>19</v>
      </c>
      <c r="F229" s="105" t="s">
        <v>535</v>
      </c>
      <c r="G229" s="105" t="s">
        <v>148</v>
      </c>
    </row>
    <row r="230" spans="1:7" x14ac:dyDescent="0.25">
      <c r="A230" s="106">
        <v>2665</v>
      </c>
      <c r="B230" s="105" t="s">
        <v>181</v>
      </c>
      <c r="C230" s="105" t="s">
        <v>328</v>
      </c>
      <c r="D230" s="105" t="s">
        <v>21</v>
      </c>
      <c r="E230" s="105" t="s">
        <v>20</v>
      </c>
      <c r="F230" s="105" t="s">
        <v>536</v>
      </c>
      <c r="G230" s="105" t="s">
        <v>148</v>
      </c>
    </row>
    <row r="231" spans="1:7" x14ac:dyDescent="0.25">
      <c r="A231" s="106">
        <v>2726</v>
      </c>
      <c r="B231" s="105" t="s">
        <v>181</v>
      </c>
      <c r="C231" s="105" t="s">
        <v>328</v>
      </c>
      <c r="D231" s="105" t="s">
        <v>21</v>
      </c>
      <c r="E231" s="105" t="s">
        <v>189</v>
      </c>
      <c r="F231" s="105" t="s">
        <v>537</v>
      </c>
      <c r="G231" s="105" t="s">
        <v>148</v>
      </c>
    </row>
    <row r="232" spans="1:7" x14ac:dyDescent="0.25">
      <c r="A232" s="106">
        <v>2748</v>
      </c>
      <c r="B232" s="105" t="s">
        <v>181</v>
      </c>
      <c r="C232" s="105" t="s">
        <v>328</v>
      </c>
      <c r="D232" s="105" t="s">
        <v>21</v>
      </c>
      <c r="E232" s="105" t="s">
        <v>191</v>
      </c>
      <c r="F232" s="105" t="s">
        <v>538</v>
      </c>
      <c r="G232" s="105" t="s">
        <v>148</v>
      </c>
    </row>
    <row r="233" spans="1:7" x14ac:dyDescent="0.25">
      <c r="A233" s="106">
        <v>2770</v>
      </c>
      <c r="B233" s="105" t="s">
        <v>181</v>
      </c>
      <c r="C233" s="105" t="s">
        <v>328</v>
      </c>
      <c r="D233" s="105" t="s">
        <v>21</v>
      </c>
      <c r="E233" s="105" t="s">
        <v>14</v>
      </c>
      <c r="F233" s="105" t="s">
        <v>539</v>
      </c>
      <c r="G233" s="105" t="s">
        <v>148</v>
      </c>
    </row>
    <row r="234" spans="1:7" x14ac:dyDescent="0.25">
      <c r="A234" s="106">
        <v>2479</v>
      </c>
      <c r="B234" s="105" t="s">
        <v>181</v>
      </c>
      <c r="C234" s="105" t="s">
        <v>328</v>
      </c>
      <c r="D234" s="105" t="s">
        <v>203</v>
      </c>
      <c r="E234" s="105" t="s">
        <v>15</v>
      </c>
      <c r="F234" s="105" t="s">
        <v>540</v>
      </c>
      <c r="G234" s="105" t="s">
        <v>148</v>
      </c>
    </row>
    <row r="235" spans="1:7" x14ac:dyDescent="0.25">
      <c r="A235" s="106">
        <v>2491</v>
      </c>
      <c r="B235" s="105" t="s">
        <v>181</v>
      </c>
      <c r="C235" s="105" t="s">
        <v>328</v>
      </c>
      <c r="D235" s="105" t="s">
        <v>203</v>
      </c>
      <c r="E235" s="105" t="s">
        <v>207</v>
      </c>
      <c r="F235" s="105" t="s">
        <v>541</v>
      </c>
      <c r="G235" s="105" t="s">
        <v>148</v>
      </c>
    </row>
    <row r="236" spans="1:7" x14ac:dyDescent="0.25">
      <c r="A236" s="106">
        <v>2518</v>
      </c>
      <c r="B236" s="105" t="s">
        <v>181</v>
      </c>
      <c r="C236" s="105" t="s">
        <v>328</v>
      </c>
      <c r="D236" s="105" t="s">
        <v>203</v>
      </c>
      <c r="E236" s="105" t="s">
        <v>16</v>
      </c>
      <c r="F236" s="105" t="s">
        <v>542</v>
      </c>
      <c r="G236" s="105" t="s">
        <v>148</v>
      </c>
    </row>
    <row r="237" spans="1:7" x14ac:dyDescent="0.25">
      <c r="A237" s="106">
        <v>2530</v>
      </c>
      <c r="B237" s="105" t="s">
        <v>181</v>
      </c>
      <c r="C237" s="105" t="s">
        <v>328</v>
      </c>
      <c r="D237" s="105" t="s">
        <v>203</v>
      </c>
      <c r="E237" s="105" t="s">
        <v>212</v>
      </c>
      <c r="F237" s="105" t="s">
        <v>543</v>
      </c>
      <c r="G237" s="105" t="s">
        <v>148</v>
      </c>
    </row>
    <row r="238" spans="1:7" x14ac:dyDescent="0.25">
      <c r="A238" s="106">
        <v>2557</v>
      </c>
      <c r="B238" s="105" t="s">
        <v>181</v>
      </c>
      <c r="C238" s="105" t="s">
        <v>328</v>
      </c>
      <c r="D238" s="105" t="s">
        <v>203</v>
      </c>
      <c r="E238" s="105" t="s">
        <v>17</v>
      </c>
      <c r="F238" s="105" t="s">
        <v>544</v>
      </c>
      <c r="G238" s="105" t="s">
        <v>148</v>
      </c>
    </row>
    <row r="239" spans="1:7" x14ac:dyDescent="0.25">
      <c r="A239" s="106">
        <v>2569</v>
      </c>
      <c r="B239" s="105" t="s">
        <v>181</v>
      </c>
      <c r="C239" s="105" t="s">
        <v>328</v>
      </c>
      <c r="D239" s="105" t="s">
        <v>203</v>
      </c>
      <c r="E239" s="105" t="s">
        <v>217</v>
      </c>
      <c r="F239" s="105" t="s">
        <v>545</v>
      </c>
      <c r="G239" s="105" t="s">
        <v>148</v>
      </c>
    </row>
    <row r="240" spans="1:7" x14ac:dyDescent="0.25">
      <c r="A240" s="106">
        <v>2596</v>
      </c>
      <c r="B240" s="105" t="s">
        <v>181</v>
      </c>
      <c r="C240" s="105" t="s">
        <v>328</v>
      </c>
      <c r="D240" s="105" t="s">
        <v>203</v>
      </c>
      <c r="E240" s="105" t="s">
        <v>18</v>
      </c>
      <c r="F240" s="105" t="s">
        <v>546</v>
      </c>
      <c r="G240" s="105" t="s">
        <v>148</v>
      </c>
    </row>
    <row r="241" spans="1:7" x14ac:dyDescent="0.25">
      <c r="A241" s="106">
        <v>2609</v>
      </c>
      <c r="B241" s="105" t="s">
        <v>181</v>
      </c>
      <c r="C241" s="105" t="s">
        <v>328</v>
      </c>
      <c r="D241" s="105" t="s">
        <v>203</v>
      </c>
      <c r="E241" s="105" t="s">
        <v>222</v>
      </c>
      <c r="F241" s="105" t="s">
        <v>547</v>
      </c>
      <c r="G241" s="105" t="s">
        <v>148</v>
      </c>
    </row>
    <row r="242" spans="1:7" x14ac:dyDescent="0.25">
      <c r="A242" s="106">
        <v>2636</v>
      </c>
      <c r="B242" s="105" t="s">
        <v>181</v>
      </c>
      <c r="C242" s="105" t="s">
        <v>328</v>
      </c>
      <c r="D242" s="105" t="s">
        <v>203</v>
      </c>
      <c r="E242" s="105" t="s">
        <v>19</v>
      </c>
      <c r="F242" s="105" t="s">
        <v>548</v>
      </c>
      <c r="G242" s="105" t="s">
        <v>148</v>
      </c>
    </row>
    <row r="243" spans="1:7" x14ac:dyDescent="0.25">
      <c r="A243" s="106">
        <v>2648</v>
      </c>
      <c r="B243" s="105" t="s">
        <v>181</v>
      </c>
      <c r="C243" s="105" t="s">
        <v>328</v>
      </c>
      <c r="D243" s="105" t="s">
        <v>203</v>
      </c>
      <c r="E243" s="105" t="s">
        <v>227</v>
      </c>
      <c r="F243" s="105" t="s">
        <v>549</v>
      </c>
      <c r="G243" s="105" t="s">
        <v>148</v>
      </c>
    </row>
    <row r="244" spans="1:7" x14ac:dyDescent="0.25">
      <c r="A244" s="106">
        <v>2675</v>
      </c>
      <c r="B244" s="105" t="s">
        <v>181</v>
      </c>
      <c r="C244" s="105" t="s">
        <v>328</v>
      </c>
      <c r="D244" s="105" t="s">
        <v>203</v>
      </c>
      <c r="E244" s="105" t="s">
        <v>20</v>
      </c>
      <c r="F244" s="105" t="s">
        <v>550</v>
      </c>
      <c r="G244" s="105" t="s">
        <v>148</v>
      </c>
    </row>
    <row r="245" spans="1:7" x14ac:dyDescent="0.25">
      <c r="A245" s="106">
        <v>2687</v>
      </c>
      <c r="B245" s="105" t="s">
        <v>181</v>
      </c>
      <c r="C245" s="105" t="s">
        <v>328</v>
      </c>
      <c r="D245" s="105" t="s">
        <v>203</v>
      </c>
      <c r="E245" s="105" t="s">
        <v>232</v>
      </c>
      <c r="F245" s="105" t="s">
        <v>551</v>
      </c>
      <c r="G245" s="105" t="s">
        <v>148</v>
      </c>
    </row>
    <row r="246" spans="1:7" x14ac:dyDescent="0.25">
      <c r="A246" s="106">
        <v>2460</v>
      </c>
      <c r="B246" s="105" t="s">
        <v>181</v>
      </c>
      <c r="C246" s="105" t="s">
        <v>359</v>
      </c>
      <c r="D246" s="105" t="s">
        <v>14</v>
      </c>
      <c r="E246" s="105" t="s">
        <v>15</v>
      </c>
      <c r="F246" s="105" t="s">
        <v>474</v>
      </c>
      <c r="G246" s="105" t="s">
        <v>148</v>
      </c>
    </row>
    <row r="247" spans="1:7" x14ac:dyDescent="0.25">
      <c r="A247" s="106">
        <v>2499</v>
      </c>
      <c r="B247" s="105" t="s">
        <v>181</v>
      </c>
      <c r="C247" s="105" t="s">
        <v>359</v>
      </c>
      <c r="D247" s="105" t="s">
        <v>14</v>
      </c>
      <c r="E247" s="105" t="s">
        <v>16</v>
      </c>
      <c r="F247" s="105" t="s">
        <v>475</v>
      </c>
      <c r="G247" s="105" t="s">
        <v>148</v>
      </c>
    </row>
    <row r="248" spans="1:7" x14ac:dyDescent="0.25">
      <c r="A248" s="106">
        <v>2538</v>
      </c>
      <c r="B248" s="105" t="s">
        <v>181</v>
      </c>
      <c r="C248" s="105" t="s">
        <v>359</v>
      </c>
      <c r="D248" s="105" t="s">
        <v>14</v>
      </c>
      <c r="E248" s="105" t="s">
        <v>17</v>
      </c>
      <c r="F248" s="105" t="s">
        <v>476</v>
      </c>
      <c r="G248" s="105" t="s">
        <v>148</v>
      </c>
    </row>
    <row r="249" spans="1:7" x14ac:dyDescent="0.25">
      <c r="A249" s="106">
        <v>2577</v>
      </c>
      <c r="B249" s="105" t="s">
        <v>181</v>
      </c>
      <c r="C249" s="105" t="s">
        <v>359</v>
      </c>
      <c r="D249" s="105" t="s">
        <v>14</v>
      </c>
      <c r="E249" s="105" t="s">
        <v>18</v>
      </c>
      <c r="F249" s="105" t="s">
        <v>477</v>
      </c>
      <c r="G249" s="105" t="s">
        <v>148</v>
      </c>
    </row>
    <row r="250" spans="1:7" x14ac:dyDescent="0.25">
      <c r="A250" s="106">
        <v>2617</v>
      </c>
      <c r="B250" s="105" t="s">
        <v>181</v>
      </c>
      <c r="C250" s="105" t="s">
        <v>359</v>
      </c>
      <c r="D250" s="105" t="s">
        <v>14</v>
      </c>
      <c r="E250" s="105" t="s">
        <v>19</v>
      </c>
      <c r="F250" s="105" t="s">
        <v>478</v>
      </c>
      <c r="G250" s="105" t="s">
        <v>148</v>
      </c>
    </row>
    <row r="251" spans="1:7" x14ac:dyDescent="0.25">
      <c r="A251" s="106">
        <v>2656</v>
      </c>
      <c r="B251" s="105" t="s">
        <v>181</v>
      </c>
      <c r="C251" s="105" t="s">
        <v>359</v>
      </c>
      <c r="D251" s="105" t="s">
        <v>14</v>
      </c>
      <c r="E251" s="105" t="s">
        <v>20</v>
      </c>
      <c r="F251" s="105" t="s">
        <v>479</v>
      </c>
      <c r="G251" s="105" t="s">
        <v>148</v>
      </c>
    </row>
    <row r="252" spans="1:7" x14ac:dyDescent="0.25">
      <c r="A252" s="106">
        <v>2716</v>
      </c>
      <c r="B252" s="105" t="s">
        <v>181</v>
      </c>
      <c r="C252" s="105" t="s">
        <v>359</v>
      </c>
      <c r="D252" s="105" t="s">
        <v>14</v>
      </c>
      <c r="E252" s="105" t="s">
        <v>189</v>
      </c>
      <c r="F252" s="105" t="s">
        <v>480</v>
      </c>
      <c r="G252" s="105" t="s">
        <v>148</v>
      </c>
    </row>
    <row r="253" spans="1:7" x14ac:dyDescent="0.25">
      <c r="A253" s="106">
        <v>2738</v>
      </c>
      <c r="B253" s="105" t="s">
        <v>181</v>
      </c>
      <c r="C253" s="105" t="s">
        <v>359</v>
      </c>
      <c r="D253" s="105" t="s">
        <v>14</v>
      </c>
      <c r="E253" s="105" t="s">
        <v>191</v>
      </c>
      <c r="F253" s="105" t="s">
        <v>481</v>
      </c>
      <c r="G253" s="105" t="s">
        <v>148</v>
      </c>
    </row>
    <row r="254" spans="1:7" x14ac:dyDescent="0.25">
      <c r="A254" s="106">
        <v>2760</v>
      </c>
      <c r="B254" s="105" t="s">
        <v>181</v>
      </c>
      <c r="C254" s="105" t="s">
        <v>359</v>
      </c>
      <c r="D254" s="105" t="s">
        <v>14</v>
      </c>
      <c r="E254" s="105" t="s">
        <v>14</v>
      </c>
      <c r="F254" s="105" t="s">
        <v>482</v>
      </c>
      <c r="G254" s="105" t="s">
        <v>148</v>
      </c>
    </row>
    <row r="255" spans="1:7" x14ac:dyDescent="0.25">
      <c r="A255" s="106">
        <v>2470</v>
      </c>
      <c r="B255" s="105" t="s">
        <v>181</v>
      </c>
      <c r="C255" s="105" t="s">
        <v>359</v>
      </c>
      <c r="D255" s="105" t="s">
        <v>21</v>
      </c>
      <c r="E255" s="105" t="s">
        <v>15</v>
      </c>
      <c r="F255" s="105" t="s">
        <v>483</v>
      </c>
      <c r="G255" s="105" t="s">
        <v>148</v>
      </c>
    </row>
    <row r="256" spans="1:7" x14ac:dyDescent="0.25">
      <c r="A256" s="106">
        <v>2509</v>
      </c>
      <c r="B256" s="105" t="s">
        <v>181</v>
      </c>
      <c r="C256" s="105" t="s">
        <v>359</v>
      </c>
      <c r="D256" s="105" t="s">
        <v>21</v>
      </c>
      <c r="E256" s="105" t="s">
        <v>16</v>
      </c>
      <c r="F256" s="105" t="s">
        <v>484</v>
      </c>
      <c r="G256" s="105" t="s">
        <v>148</v>
      </c>
    </row>
    <row r="257" spans="1:7" x14ac:dyDescent="0.25">
      <c r="A257" s="106">
        <v>2548</v>
      </c>
      <c r="B257" s="105" t="s">
        <v>181</v>
      </c>
      <c r="C257" s="105" t="s">
        <v>359</v>
      </c>
      <c r="D257" s="105" t="s">
        <v>21</v>
      </c>
      <c r="E257" s="105" t="s">
        <v>17</v>
      </c>
      <c r="F257" s="105" t="s">
        <v>485</v>
      </c>
      <c r="G257" s="105" t="s">
        <v>148</v>
      </c>
    </row>
    <row r="258" spans="1:7" x14ac:dyDescent="0.25">
      <c r="A258" s="106">
        <v>2587</v>
      </c>
      <c r="B258" s="105" t="s">
        <v>181</v>
      </c>
      <c r="C258" s="105" t="s">
        <v>359</v>
      </c>
      <c r="D258" s="105" t="s">
        <v>21</v>
      </c>
      <c r="E258" s="105" t="s">
        <v>18</v>
      </c>
      <c r="F258" s="105" t="s">
        <v>486</v>
      </c>
      <c r="G258" s="105" t="s">
        <v>148</v>
      </c>
    </row>
    <row r="259" spans="1:7" x14ac:dyDescent="0.25">
      <c r="A259" s="106">
        <v>2627</v>
      </c>
      <c r="B259" s="105" t="s">
        <v>181</v>
      </c>
      <c r="C259" s="105" t="s">
        <v>359</v>
      </c>
      <c r="D259" s="105" t="s">
        <v>21</v>
      </c>
      <c r="E259" s="105" t="s">
        <v>19</v>
      </c>
      <c r="F259" s="105" t="s">
        <v>487</v>
      </c>
      <c r="G259" s="105" t="s">
        <v>148</v>
      </c>
    </row>
    <row r="260" spans="1:7" x14ac:dyDescent="0.25">
      <c r="A260" s="106">
        <v>2666</v>
      </c>
      <c r="B260" s="105" t="s">
        <v>181</v>
      </c>
      <c r="C260" s="105" t="s">
        <v>359</v>
      </c>
      <c r="D260" s="105" t="s">
        <v>21</v>
      </c>
      <c r="E260" s="105" t="s">
        <v>20</v>
      </c>
      <c r="F260" s="105" t="s">
        <v>488</v>
      </c>
      <c r="G260" s="105" t="s">
        <v>148</v>
      </c>
    </row>
    <row r="261" spans="1:7" x14ac:dyDescent="0.25">
      <c r="A261" s="106">
        <v>2727</v>
      </c>
      <c r="B261" s="105" t="s">
        <v>181</v>
      </c>
      <c r="C261" s="105" t="s">
        <v>359</v>
      </c>
      <c r="D261" s="105" t="s">
        <v>21</v>
      </c>
      <c r="E261" s="105" t="s">
        <v>189</v>
      </c>
      <c r="F261" s="105" t="s">
        <v>489</v>
      </c>
      <c r="G261" s="105" t="s">
        <v>148</v>
      </c>
    </row>
    <row r="262" spans="1:7" x14ac:dyDescent="0.25">
      <c r="A262" s="106">
        <v>2749</v>
      </c>
      <c r="B262" s="105" t="s">
        <v>181</v>
      </c>
      <c r="C262" s="105" t="s">
        <v>359</v>
      </c>
      <c r="D262" s="105" t="s">
        <v>21</v>
      </c>
      <c r="E262" s="105" t="s">
        <v>191</v>
      </c>
      <c r="F262" s="105" t="s">
        <v>490</v>
      </c>
      <c r="G262" s="105" t="s">
        <v>148</v>
      </c>
    </row>
    <row r="263" spans="1:7" x14ac:dyDescent="0.25">
      <c r="A263" s="106">
        <v>2771</v>
      </c>
      <c r="B263" s="105" t="s">
        <v>181</v>
      </c>
      <c r="C263" s="105" t="s">
        <v>359</v>
      </c>
      <c r="D263" s="105" t="s">
        <v>21</v>
      </c>
      <c r="E263" s="105" t="s">
        <v>14</v>
      </c>
      <c r="F263" s="105" t="s">
        <v>491</v>
      </c>
      <c r="G263" s="105" t="s">
        <v>148</v>
      </c>
    </row>
    <row r="264" spans="1:7" x14ac:dyDescent="0.25">
      <c r="A264" s="106">
        <v>2480</v>
      </c>
      <c r="B264" s="105" t="s">
        <v>181</v>
      </c>
      <c r="C264" s="105" t="s">
        <v>359</v>
      </c>
      <c r="D264" s="105" t="s">
        <v>203</v>
      </c>
      <c r="E264" s="105" t="s">
        <v>15</v>
      </c>
      <c r="F264" s="105" t="s">
        <v>492</v>
      </c>
      <c r="G264" s="105" t="s">
        <v>148</v>
      </c>
    </row>
    <row r="265" spans="1:7" x14ac:dyDescent="0.25">
      <c r="A265" s="106">
        <v>2519</v>
      </c>
      <c r="B265" s="105" t="s">
        <v>181</v>
      </c>
      <c r="C265" s="105" t="s">
        <v>359</v>
      </c>
      <c r="D265" s="105" t="s">
        <v>203</v>
      </c>
      <c r="E265" s="105" t="s">
        <v>16</v>
      </c>
      <c r="F265" s="105" t="s">
        <v>493</v>
      </c>
      <c r="G265" s="105" t="s">
        <v>148</v>
      </c>
    </row>
    <row r="266" spans="1:7" x14ac:dyDescent="0.25">
      <c r="A266" s="106">
        <v>2558</v>
      </c>
      <c r="B266" s="105" t="s">
        <v>181</v>
      </c>
      <c r="C266" s="105" t="s">
        <v>359</v>
      </c>
      <c r="D266" s="105" t="s">
        <v>203</v>
      </c>
      <c r="E266" s="105" t="s">
        <v>17</v>
      </c>
      <c r="F266" s="105" t="s">
        <v>494</v>
      </c>
      <c r="G266" s="105" t="s">
        <v>148</v>
      </c>
    </row>
    <row r="267" spans="1:7" x14ac:dyDescent="0.25">
      <c r="A267" s="106">
        <v>2597</v>
      </c>
      <c r="B267" s="105" t="s">
        <v>181</v>
      </c>
      <c r="C267" s="105" t="s">
        <v>359</v>
      </c>
      <c r="D267" s="105" t="s">
        <v>203</v>
      </c>
      <c r="E267" s="105" t="s">
        <v>18</v>
      </c>
      <c r="F267" s="105" t="s">
        <v>495</v>
      </c>
      <c r="G267" s="105" t="s">
        <v>148</v>
      </c>
    </row>
    <row r="268" spans="1:7" x14ac:dyDescent="0.25">
      <c r="A268" s="106">
        <v>2637</v>
      </c>
      <c r="B268" s="105" t="s">
        <v>181</v>
      </c>
      <c r="C268" s="105" t="s">
        <v>359</v>
      </c>
      <c r="D268" s="105" t="s">
        <v>203</v>
      </c>
      <c r="E268" s="105" t="s">
        <v>19</v>
      </c>
      <c r="F268" s="105" t="s">
        <v>496</v>
      </c>
      <c r="G268" s="105" t="s">
        <v>148</v>
      </c>
    </row>
    <row r="269" spans="1:7" x14ac:dyDescent="0.25">
      <c r="A269" s="106">
        <v>2676</v>
      </c>
      <c r="B269" s="105" t="s">
        <v>181</v>
      </c>
      <c r="C269" s="105" t="s">
        <v>359</v>
      </c>
      <c r="D269" s="105" t="s">
        <v>203</v>
      </c>
      <c r="E269" s="105" t="s">
        <v>20</v>
      </c>
      <c r="F269" s="105" t="s">
        <v>497</v>
      </c>
      <c r="G269" s="105" t="s">
        <v>148</v>
      </c>
    </row>
    <row r="270" spans="1:7" x14ac:dyDescent="0.25">
      <c r="A270" s="106">
        <v>2461</v>
      </c>
      <c r="B270" s="105" t="s">
        <v>181</v>
      </c>
      <c r="C270" s="105" t="s">
        <v>360</v>
      </c>
      <c r="D270" s="105" t="s">
        <v>14</v>
      </c>
      <c r="E270" s="105" t="s">
        <v>15</v>
      </c>
      <c r="F270" s="105" t="s">
        <v>474</v>
      </c>
      <c r="G270" s="105" t="s">
        <v>148</v>
      </c>
    </row>
    <row r="271" spans="1:7" x14ac:dyDescent="0.25">
      <c r="A271" s="106">
        <v>2500</v>
      </c>
      <c r="B271" s="105" t="s">
        <v>181</v>
      </c>
      <c r="C271" s="105" t="s">
        <v>360</v>
      </c>
      <c r="D271" s="105" t="s">
        <v>14</v>
      </c>
      <c r="E271" s="105" t="s">
        <v>16</v>
      </c>
      <c r="F271" s="105" t="s">
        <v>475</v>
      </c>
      <c r="G271" s="105" t="s">
        <v>148</v>
      </c>
    </row>
    <row r="272" spans="1:7" x14ac:dyDescent="0.25">
      <c r="A272" s="106">
        <v>2539</v>
      </c>
      <c r="B272" s="105" t="s">
        <v>181</v>
      </c>
      <c r="C272" s="105" t="s">
        <v>360</v>
      </c>
      <c r="D272" s="105" t="s">
        <v>14</v>
      </c>
      <c r="E272" s="105" t="s">
        <v>17</v>
      </c>
      <c r="F272" s="105" t="s">
        <v>476</v>
      </c>
      <c r="G272" s="105" t="s">
        <v>148</v>
      </c>
    </row>
    <row r="273" spans="1:7" x14ac:dyDescent="0.25">
      <c r="A273" s="106">
        <v>2578</v>
      </c>
      <c r="B273" s="105" t="s">
        <v>181</v>
      </c>
      <c r="C273" s="105" t="s">
        <v>360</v>
      </c>
      <c r="D273" s="105" t="s">
        <v>14</v>
      </c>
      <c r="E273" s="105" t="s">
        <v>18</v>
      </c>
      <c r="F273" s="105" t="s">
        <v>477</v>
      </c>
      <c r="G273" s="105" t="s">
        <v>148</v>
      </c>
    </row>
    <row r="274" spans="1:7" x14ac:dyDescent="0.25">
      <c r="A274" s="106">
        <v>2618</v>
      </c>
      <c r="B274" s="105" t="s">
        <v>181</v>
      </c>
      <c r="C274" s="105" t="s">
        <v>360</v>
      </c>
      <c r="D274" s="105" t="s">
        <v>14</v>
      </c>
      <c r="E274" s="105" t="s">
        <v>19</v>
      </c>
      <c r="F274" s="105" t="s">
        <v>478</v>
      </c>
      <c r="G274" s="105" t="s">
        <v>148</v>
      </c>
    </row>
    <row r="275" spans="1:7" x14ac:dyDescent="0.25">
      <c r="A275" s="106">
        <v>2657</v>
      </c>
      <c r="B275" s="105" t="s">
        <v>181</v>
      </c>
      <c r="C275" s="105" t="s">
        <v>360</v>
      </c>
      <c r="D275" s="105" t="s">
        <v>14</v>
      </c>
      <c r="E275" s="105" t="s">
        <v>20</v>
      </c>
      <c r="F275" s="105" t="s">
        <v>479</v>
      </c>
      <c r="G275" s="105" t="s">
        <v>148</v>
      </c>
    </row>
    <row r="276" spans="1:7" x14ac:dyDescent="0.25">
      <c r="A276" s="106">
        <v>2717</v>
      </c>
      <c r="B276" s="105" t="s">
        <v>181</v>
      </c>
      <c r="C276" s="105" t="s">
        <v>360</v>
      </c>
      <c r="D276" s="105" t="s">
        <v>14</v>
      </c>
      <c r="E276" s="105" t="s">
        <v>189</v>
      </c>
      <c r="F276" s="105" t="s">
        <v>480</v>
      </c>
      <c r="G276" s="105" t="s">
        <v>148</v>
      </c>
    </row>
    <row r="277" spans="1:7" x14ac:dyDescent="0.25">
      <c r="A277" s="106">
        <v>2739</v>
      </c>
      <c r="B277" s="105" t="s">
        <v>181</v>
      </c>
      <c r="C277" s="105" t="s">
        <v>360</v>
      </c>
      <c r="D277" s="105" t="s">
        <v>14</v>
      </c>
      <c r="E277" s="105" t="s">
        <v>191</v>
      </c>
      <c r="F277" s="105" t="s">
        <v>481</v>
      </c>
      <c r="G277" s="105" t="s">
        <v>148</v>
      </c>
    </row>
    <row r="278" spans="1:7" x14ac:dyDescent="0.25">
      <c r="A278" s="106">
        <v>2761</v>
      </c>
      <c r="B278" s="105" t="s">
        <v>181</v>
      </c>
      <c r="C278" s="105" t="s">
        <v>360</v>
      </c>
      <c r="D278" s="105" t="s">
        <v>14</v>
      </c>
      <c r="E278" s="105" t="s">
        <v>14</v>
      </c>
      <c r="F278" s="105" t="s">
        <v>482</v>
      </c>
      <c r="G278" s="105" t="s">
        <v>148</v>
      </c>
    </row>
    <row r="279" spans="1:7" x14ac:dyDescent="0.25">
      <c r="A279" s="106">
        <v>2471</v>
      </c>
      <c r="B279" s="105" t="s">
        <v>181</v>
      </c>
      <c r="C279" s="105" t="s">
        <v>360</v>
      </c>
      <c r="D279" s="105" t="s">
        <v>21</v>
      </c>
      <c r="E279" s="105" t="s">
        <v>15</v>
      </c>
      <c r="F279" s="105" t="s">
        <v>483</v>
      </c>
      <c r="G279" s="105" t="s">
        <v>148</v>
      </c>
    </row>
    <row r="280" spans="1:7" x14ac:dyDescent="0.25">
      <c r="A280" s="106">
        <v>2510</v>
      </c>
      <c r="B280" s="105" t="s">
        <v>181</v>
      </c>
      <c r="C280" s="105" t="s">
        <v>360</v>
      </c>
      <c r="D280" s="105" t="s">
        <v>21</v>
      </c>
      <c r="E280" s="105" t="s">
        <v>16</v>
      </c>
      <c r="F280" s="105" t="s">
        <v>484</v>
      </c>
      <c r="G280" s="105" t="s">
        <v>148</v>
      </c>
    </row>
    <row r="281" spans="1:7" x14ac:dyDescent="0.25">
      <c r="A281" s="106">
        <v>2549</v>
      </c>
      <c r="B281" s="105" t="s">
        <v>181</v>
      </c>
      <c r="C281" s="105" t="s">
        <v>360</v>
      </c>
      <c r="D281" s="105" t="s">
        <v>21</v>
      </c>
      <c r="E281" s="105" t="s">
        <v>17</v>
      </c>
      <c r="F281" s="105" t="s">
        <v>485</v>
      </c>
      <c r="G281" s="105" t="s">
        <v>148</v>
      </c>
    </row>
    <row r="282" spans="1:7" x14ac:dyDescent="0.25">
      <c r="A282" s="106">
        <v>2588</v>
      </c>
      <c r="B282" s="105" t="s">
        <v>181</v>
      </c>
      <c r="C282" s="105" t="s">
        <v>360</v>
      </c>
      <c r="D282" s="105" t="s">
        <v>21</v>
      </c>
      <c r="E282" s="105" t="s">
        <v>18</v>
      </c>
      <c r="F282" s="105" t="s">
        <v>486</v>
      </c>
      <c r="G282" s="105" t="s">
        <v>148</v>
      </c>
    </row>
    <row r="283" spans="1:7" x14ac:dyDescent="0.25">
      <c r="A283" s="106">
        <v>2628</v>
      </c>
      <c r="B283" s="105" t="s">
        <v>181</v>
      </c>
      <c r="C283" s="105" t="s">
        <v>360</v>
      </c>
      <c r="D283" s="105" t="s">
        <v>21</v>
      </c>
      <c r="E283" s="105" t="s">
        <v>19</v>
      </c>
      <c r="F283" s="105" t="s">
        <v>487</v>
      </c>
      <c r="G283" s="105" t="s">
        <v>148</v>
      </c>
    </row>
    <row r="284" spans="1:7" x14ac:dyDescent="0.25">
      <c r="A284" s="106">
        <v>2667</v>
      </c>
      <c r="B284" s="105" t="s">
        <v>181</v>
      </c>
      <c r="C284" s="105" t="s">
        <v>360</v>
      </c>
      <c r="D284" s="105" t="s">
        <v>21</v>
      </c>
      <c r="E284" s="105" t="s">
        <v>20</v>
      </c>
      <c r="F284" s="105" t="s">
        <v>488</v>
      </c>
      <c r="G284" s="105" t="s">
        <v>148</v>
      </c>
    </row>
    <row r="285" spans="1:7" x14ac:dyDescent="0.25">
      <c r="A285" s="106">
        <v>2728</v>
      </c>
      <c r="B285" s="105" t="s">
        <v>181</v>
      </c>
      <c r="C285" s="105" t="s">
        <v>360</v>
      </c>
      <c r="D285" s="105" t="s">
        <v>21</v>
      </c>
      <c r="E285" s="105" t="s">
        <v>189</v>
      </c>
      <c r="F285" s="105" t="s">
        <v>489</v>
      </c>
      <c r="G285" s="105" t="s">
        <v>148</v>
      </c>
    </row>
    <row r="286" spans="1:7" x14ac:dyDescent="0.25">
      <c r="A286" s="106">
        <v>2750</v>
      </c>
      <c r="B286" s="105" t="s">
        <v>181</v>
      </c>
      <c r="C286" s="105" t="s">
        <v>360</v>
      </c>
      <c r="D286" s="105" t="s">
        <v>21</v>
      </c>
      <c r="E286" s="105" t="s">
        <v>191</v>
      </c>
      <c r="F286" s="105" t="s">
        <v>490</v>
      </c>
      <c r="G286" s="105" t="s">
        <v>148</v>
      </c>
    </row>
    <row r="287" spans="1:7" x14ac:dyDescent="0.25">
      <c r="A287" s="106">
        <v>2772</v>
      </c>
      <c r="B287" s="105" t="s">
        <v>181</v>
      </c>
      <c r="C287" s="105" t="s">
        <v>360</v>
      </c>
      <c r="D287" s="105" t="s">
        <v>21</v>
      </c>
      <c r="E287" s="105" t="s">
        <v>14</v>
      </c>
      <c r="F287" s="105" t="s">
        <v>491</v>
      </c>
      <c r="G287" s="105" t="s">
        <v>148</v>
      </c>
    </row>
    <row r="288" spans="1:7" x14ac:dyDescent="0.25">
      <c r="A288" s="106">
        <v>2481</v>
      </c>
      <c r="B288" s="105" t="s">
        <v>181</v>
      </c>
      <c r="C288" s="105" t="s">
        <v>360</v>
      </c>
      <c r="D288" s="105" t="s">
        <v>203</v>
      </c>
      <c r="E288" s="105" t="s">
        <v>15</v>
      </c>
      <c r="F288" s="105" t="s">
        <v>492</v>
      </c>
      <c r="G288" s="105" t="s">
        <v>148</v>
      </c>
    </row>
    <row r="289" spans="1:7" x14ac:dyDescent="0.25">
      <c r="A289" s="106">
        <v>2520</v>
      </c>
      <c r="B289" s="105" t="s">
        <v>181</v>
      </c>
      <c r="C289" s="105" t="s">
        <v>360</v>
      </c>
      <c r="D289" s="105" t="s">
        <v>203</v>
      </c>
      <c r="E289" s="105" t="s">
        <v>16</v>
      </c>
      <c r="F289" s="105" t="s">
        <v>493</v>
      </c>
      <c r="G289" s="105" t="s">
        <v>148</v>
      </c>
    </row>
    <row r="290" spans="1:7" x14ac:dyDescent="0.25">
      <c r="A290" s="106">
        <v>2559</v>
      </c>
      <c r="B290" s="105" t="s">
        <v>181</v>
      </c>
      <c r="C290" s="105" t="s">
        <v>360</v>
      </c>
      <c r="D290" s="105" t="s">
        <v>203</v>
      </c>
      <c r="E290" s="105" t="s">
        <v>17</v>
      </c>
      <c r="F290" s="105" t="s">
        <v>494</v>
      </c>
      <c r="G290" s="105" t="s">
        <v>148</v>
      </c>
    </row>
    <row r="291" spans="1:7" x14ac:dyDescent="0.25">
      <c r="A291" s="106">
        <v>2598</v>
      </c>
      <c r="B291" s="105" t="s">
        <v>181</v>
      </c>
      <c r="C291" s="105" t="s">
        <v>360</v>
      </c>
      <c r="D291" s="105" t="s">
        <v>203</v>
      </c>
      <c r="E291" s="105" t="s">
        <v>18</v>
      </c>
      <c r="F291" s="105" t="s">
        <v>495</v>
      </c>
      <c r="G291" s="105" t="s">
        <v>148</v>
      </c>
    </row>
    <row r="292" spans="1:7" x14ac:dyDescent="0.25">
      <c r="A292" s="106">
        <v>2638</v>
      </c>
      <c r="B292" s="105" t="s">
        <v>181</v>
      </c>
      <c r="C292" s="105" t="s">
        <v>360</v>
      </c>
      <c r="D292" s="105" t="s">
        <v>203</v>
      </c>
      <c r="E292" s="105" t="s">
        <v>19</v>
      </c>
      <c r="F292" s="105" t="s">
        <v>496</v>
      </c>
      <c r="G292" s="105" t="s">
        <v>148</v>
      </c>
    </row>
    <row r="293" spans="1:7" x14ac:dyDescent="0.25">
      <c r="A293" s="106">
        <v>2677</v>
      </c>
      <c r="B293" s="105" t="s">
        <v>181</v>
      </c>
      <c r="C293" s="105" t="s">
        <v>360</v>
      </c>
      <c r="D293" s="105" t="s">
        <v>203</v>
      </c>
      <c r="E293" s="105" t="s">
        <v>20</v>
      </c>
      <c r="F293" s="105" t="s">
        <v>497</v>
      </c>
      <c r="G293" s="105" t="s">
        <v>148</v>
      </c>
    </row>
    <row r="294" spans="1:7" x14ac:dyDescent="0.25">
      <c r="A294" s="106">
        <v>2462</v>
      </c>
      <c r="B294" s="105" t="s">
        <v>181</v>
      </c>
      <c r="C294" s="105" t="s">
        <v>361</v>
      </c>
      <c r="D294" s="105" t="s">
        <v>14</v>
      </c>
      <c r="E294" s="105" t="s">
        <v>15</v>
      </c>
      <c r="F294" s="105" t="s">
        <v>552</v>
      </c>
      <c r="G294" s="105" t="s">
        <v>148</v>
      </c>
    </row>
    <row r="295" spans="1:7" x14ac:dyDescent="0.25">
      <c r="A295" s="106">
        <v>2501</v>
      </c>
      <c r="B295" s="105" t="s">
        <v>181</v>
      </c>
      <c r="C295" s="105" t="s">
        <v>361</v>
      </c>
      <c r="D295" s="105" t="s">
        <v>14</v>
      </c>
      <c r="E295" s="105" t="s">
        <v>16</v>
      </c>
      <c r="F295" s="105" t="s">
        <v>553</v>
      </c>
      <c r="G295" s="105" t="s">
        <v>148</v>
      </c>
    </row>
    <row r="296" spans="1:7" x14ac:dyDescent="0.25">
      <c r="A296" s="106">
        <v>2540</v>
      </c>
      <c r="B296" s="105" t="s">
        <v>181</v>
      </c>
      <c r="C296" s="105" t="s">
        <v>361</v>
      </c>
      <c r="D296" s="105" t="s">
        <v>14</v>
      </c>
      <c r="E296" s="105" t="s">
        <v>17</v>
      </c>
      <c r="F296" s="105" t="s">
        <v>554</v>
      </c>
      <c r="G296" s="105" t="s">
        <v>148</v>
      </c>
    </row>
    <row r="297" spans="1:7" x14ac:dyDescent="0.25">
      <c r="A297" s="106">
        <v>2579</v>
      </c>
      <c r="B297" s="105" t="s">
        <v>181</v>
      </c>
      <c r="C297" s="105" t="s">
        <v>361</v>
      </c>
      <c r="D297" s="105" t="s">
        <v>14</v>
      </c>
      <c r="E297" s="105" t="s">
        <v>18</v>
      </c>
      <c r="F297" s="105" t="s">
        <v>555</v>
      </c>
      <c r="G297" s="105" t="s">
        <v>148</v>
      </c>
    </row>
    <row r="298" spans="1:7" x14ac:dyDescent="0.25">
      <c r="A298" s="106">
        <v>2619</v>
      </c>
      <c r="B298" s="105" t="s">
        <v>181</v>
      </c>
      <c r="C298" s="105" t="s">
        <v>361</v>
      </c>
      <c r="D298" s="105" t="s">
        <v>14</v>
      </c>
      <c r="E298" s="105" t="s">
        <v>19</v>
      </c>
      <c r="F298" s="105" t="s">
        <v>556</v>
      </c>
      <c r="G298" s="105" t="s">
        <v>148</v>
      </c>
    </row>
    <row r="299" spans="1:7" x14ac:dyDescent="0.25">
      <c r="A299" s="106">
        <v>2658</v>
      </c>
      <c r="B299" s="105" t="s">
        <v>181</v>
      </c>
      <c r="C299" s="105" t="s">
        <v>361</v>
      </c>
      <c r="D299" s="105" t="s">
        <v>14</v>
      </c>
      <c r="E299" s="105" t="s">
        <v>20</v>
      </c>
      <c r="F299" s="105" t="s">
        <v>557</v>
      </c>
      <c r="G299" s="105" t="s">
        <v>148</v>
      </c>
    </row>
    <row r="300" spans="1:7" x14ac:dyDescent="0.25">
      <c r="A300" s="106">
        <v>2718</v>
      </c>
      <c r="B300" s="105" t="s">
        <v>181</v>
      </c>
      <c r="C300" s="105" t="s">
        <v>361</v>
      </c>
      <c r="D300" s="105" t="s">
        <v>14</v>
      </c>
      <c r="E300" s="105" t="s">
        <v>189</v>
      </c>
      <c r="F300" s="105" t="s">
        <v>558</v>
      </c>
      <c r="G300" s="105" t="s">
        <v>148</v>
      </c>
    </row>
    <row r="301" spans="1:7" x14ac:dyDescent="0.25">
      <c r="A301" s="106">
        <v>2740</v>
      </c>
      <c r="B301" s="105" t="s">
        <v>181</v>
      </c>
      <c r="C301" s="105" t="s">
        <v>361</v>
      </c>
      <c r="D301" s="105" t="s">
        <v>14</v>
      </c>
      <c r="E301" s="105" t="s">
        <v>191</v>
      </c>
      <c r="F301" s="105" t="s">
        <v>559</v>
      </c>
      <c r="G301" s="105" t="s">
        <v>148</v>
      </c>
    </row>
    <row r="302" spans="1:7" x14ac:dyDescent="0.25">
      <c r="A302" s="106">
        <v>2762</v>
      </c>
      <c r="B302" s="105" t="s">
        <v>181</v>
      </c>
      <c r="C302" s="105" t="s">
        <v>361</v>
      </c>
      <c r="D302" s="105" t="s">
        <v>14</v>
      </c>
      <c r="E302" s="105" t="s">
        <v>14</v>
      </c>
      <c r="F302" s="105" t="s">
        <v>560</v>
      </c>
      <c r="G302" s="105" t="s">
        <v>148</v>
      </c>
    </row>
    <row r="303" spans="1:7" x14ac:dyDescent="0.25">
      <c r="A303" s="106">
        <v>2472</v>
      </c>
      <c r="B303" s="105" t="s">
        <v>181</v>
      </c>
      <c r="C303" s="105" t="s">
        <v>361</v>
      </c>
      <c r="D303" s="105" t="s">
        <v>21</v>
      </c>
      <c r="E303" s="105" t="s">
        <v>15</v>
      </c>
      <c r="F303" s="105" t="s">
        <v>561</v>
      </c>
      <c r="G303" s="105" t="s">
        <v>148</v>
      </c>
    </row>
    <row r="304" spans="1:7" x14ac:dyDescent="0.25">
      <c r="A304" s="106">
        <v>2511</v>
      </c>
      <c r="B304" s="105" t="s">
        <v>181</v>
      </c>
      <c r="C304" s="105" t="s">
        <v>361</v>
      </c>
      <c r="D304" s="105" t="s">
        <v>21</v>
      </c>
      <c r="E304" s="105" t="s">
        <v>16</v>
      </c>
      <c r="F304" s="105" t="s">
        <v>562</v>
      </c>
      <c r="G304" s="105" t="s">
        <v>148</v>
      </c>
    </row>
    <row r="305" spans="1:7" x14ac:dyDescent="0.25">
      <c r="A305" s="106">
        <v>2550</v>
      </c>
      <c r="B305" s="105" t="s">
        <v>181</v>
      </c>
      <c r="C305" s="105" t="s">
        <v>361</v>
      </c>
      <c r="D305" s="105" t="s">
        <v>21</v>
      </c>
      <c r="E305" s="105" t="s">
        <v>17</v>
      </c>
      <c r="F305" s="105" t="s">
        <v>563</v>
      </c>
      <c r="G305" s="105" t="s">
        <v>148</v>
      </c>
    </row>
    <row r="306" spans="1:7" x14ac:dyDescent="0.25">
      <c r="A306" s="106">
        <v>2589</v>
      </c>
      <c r="B306" s="105" t="s">
        <v>181</v>
      </c>
      <c r="C306" s="105" t="s">
        <v>361</v>
      </c>
      <c r="D306" s="105" t="s">
        <v>21</v>
      </c>
      <c r="E306" s="105" t="s">
        <v>18</v>
      </c>
      <c r="F306" s="105" t="s">
        <v>564</v>
      </c>
      <c r="G306" s="105" t="s">
        <v>148</v>
      </c>
    </row>
    <row r="307" spans="1:7" x14ac:dyDescent="0.25">
      <c r="A307" s="106">
        <v>2629</v>
      </c>
      <c r="B307" s="105" t="s">
        <v>181</v>
      </c>
      <c r="C307" s="105" t="s">
        <v>361</v>
      </c>
      <c r="D307" s="105" t="s">
        <v>21</v>
      </c>
      <c r="E307" s="105" t="s">
        <v>19</v>
      </c>
      <c r="F307" s="105" t="s">
        <v>565</v>
      </c>
      <c r="G307" s="105" t="s">
        <v>148</v>
      </c>
    </row>
    <row r="308" spans="1:7" x14ac:dyDescent="0.25">
      <c r="A308" s="106">
        <v>2668</v>
      </c>
      <c r="B308" s="105" t="s">
        <v>181</v>
      </c>
      <c r="C308" s="105" t="s">
        <v>361</v>
      </c>
      <c r="D308" s="105" t="s">
        <v>21</v>
      </c>
      <c r="E308" s="105" t="s">
        <v>20</v>
      </c>
      <c r="F308" s="105" t="s">
        <v>566</v>
      </c>
      <c r="G308" s="105" t="s">
        <v>148</v>
      </c>
    </row>
    <row r="309" spans="1:7" x14ac:dyDescent="0.25">
      <c r="A309" s="106">
        <v>2729</v>
      </c>
      <c r="B309" s="105" t="s">
        <v>181</v>
      </c>
      <c r="C309" s="105" t="s">
        <v>361</v>
      </c>
      <c r="D309" s="105" t="s">
        <v>21</v>
      </c>
      <c r="E309" s="105" t="s">
        <v>189</v>
      </c>
      <c r="F309" s="105" t="s">
        <v>567</v>
      </c>
      <c r="G309" s="105" t="s">
        <v>148</v>
      </c>
    </row>
    <row r="310" spans="1:7" x14ac:dyDescent="0.25">
      <c r="A310" s="106">
        <v>2751</v>
      </c>
      <c r="B310" s="105" t="s">
        <v>181</v>
      </c>
      <c r="C310" s="105" t="s">
        <v>361</v>
      </c>
      <c r="D310" s="105" t="s">
        <v>21</v>
      </c>
      <c r="E310" s="105" t="s">
        <v>191</v>
      </c>
      <c r="F310" s="105" t="s">
        <v>568</v>
      </c>
      <c r="G310" s="105" t="s">
        <v>148</v>
      </c>
    </row>
    <row r="311" spans="1:7" x14ac:dyDescent="0.25">
      <c r="A311" s="106">
        <v>2773</v>
      </c>
      <c r="B311" s="105" t="s">
        <v>181</v>
      </c>
      <c r="C311" s="105" t="s">
        <v>361</v>
      </c>
      <c r="D311" s="105" t="s">
        <v>21</v>
      </c>
      <c r="E311" s="105" t="s">
        <v>14</v>
      </c>
      <c r="F311" s="105" t="s">
        <v>569</v>
      </c>
      <c r="G311" s="105" t="s">
        <v>148</v>
      </c>
    </row>
    <row r="312" spans="1:7" x14ac:dyDescent="0.25">
      <c r="A312" s="106">
        <v>2482</v>
      </c>
      <c r="B312" s="105" t="s">
        <v>181</v>
      </c>
      <c r="C312" s="105" t="s">
        <v>361</v>
      </c>
      <c r="D312" s="105" t="s">
        <v>203</v>
      </c>
      <c r="E312" s="105" t="s">
        <v>15</v>
      </c>
      <c r="F312" s="105" t="s">
        <v>570</v>
      </c>
      <c r="G312" s="105" t="s">
        <v>148</v>
      </c>
    </row>
    <row r="313" spans="1:7" x14ac:dyDescent="0.25">
      <c r="A313" s="106">
        <v>2521</v>
      </c>
      <c r="B313" s="105" t="s">
        <v>181</v>
      </c>
      <c r="C313" s="105" t="s">
        <v>361</v>
      </c>
      <c r="D313" s="105" t="s">
        <v>203</v>
      </c>
      <c r="E313" s="105" t="s">
        <v>16</v>
      </c>
      <c r="F313" s="105" t="s">
        <v>571</v>
      </c>
      <c r="G313" s="105" t="s">
        <v>148</v>
      </c>
    </row>
    <row r="314" spans="1:7" x14ac:dyDescent="0.25">
      <c r="A314" s="106">
        <v>2560</v>
      </c>
      <c r="B314" s="105" t="s">
        <v>181</v>
      </c>
      <c r="C314" s="105" t="s">
        <v>361</v>
      </c>
      <c r="D314" s="105" t="s">
        <v>203</v>
      </c>
      <c r="E314" s="105" t="s">
        <v>17</v>
      </c>
      <c r="F314" s="105" t="s">
        <v>572</v>
      </c>
      <c r="G314" s="105" t="s">
        <v>148</v>
      </c>
    </row>
    <row r="315" spans="1:7" x14ac:dyDescent="0.25">
      <c r="A315" s="106">
        <v>2599</v>
      </c>
      <c r="B315" s="105" t="s">
        <v>181</v>
      </c>
      <c r="C315" s="105" t="s">
        <v>361</v>
      </c>
      <c r="D315" s="105" t="s">
        <v>203</v>
      </c>
      <c r="E315" s="105" t="s">
        <v>18</v>
      </c>
      <c r="F315" s="105" t="s">
        <v>573</v>
      </c>
      <c r="G315" s="105" t="s">
        <v>148</v>
      </c>
    </row>
    <row r="316" spans="1:7" x14ac:dyDescent="0.25">
      <c r="A316" s="106">
        <v>2639</v>
      </c>
      <c r="B316" s="105" t="s">
        <v>181</v>
      </c>
      <c r="C316" s="105" t="s">
        <v>361</v>
      </c>
      <c r="D316" s="105" t="s">
        <v>203</v>
      </c>
      <c r="E316" s="105" t="s">
        <v>19</v>
      </c>
      <c r="F316" s="105" t="s">
        <v>574</v>
      </c>
      <c r="G316" s="105" t="s">
        <v>148</v>
      </c>
    </row>
    <row r="317" spans="1:7" x14ac:dyDescent="0.25">
      <c r="A317" s="106">
        <v>2678</v>
      </c>
      <c r="B317" s="105" t="s">
        <v>181</v>
      </c>
      <c r="C317" s="105" t="s">
        <v>361</v>
      </c>
      <c r="D317" s="105" t="s">
        <v>203</v>
      </c>
      <c r="E317" s="105" t="s">
        <v>20</v>
      </c>
      <c r="F317" s="105" t="s">
        <v>575</v>
      </c>
      <c r="G317" s="105" t="s">
        <v>148</v>
      </c>
    </row>
    <row r="318" spans="1:7" x14ac:dyDescent="0.25">
      <c r="A318" s="106">
        <v>2776</v>
      </c>
      <c r="B318" s="105" t="s">
        <v>181</v>
      </c>
      <c r="C318" s="105" t="s">
        <v>150</v>
      </c>
      <c r="D318" s="105" t="s">
        <v>151</v>
      </c>
      <c r="E318" s="106">
        <v>4</v>
      </c>
      <c r="F318" s="105" t="s">
        <v>576</v>
      </c>
      <c r="G318" s="105" t="s">
        <v>148</v>
      </c>
    </row>
    <row r="319" spans="1:7" x14ac:dyDescent="0.25">
      <c r="A319" s="106">
        <v>2688</v>
      </c>
      <c r="B319" s="105" t="s">
        <v>181</v>
      </c>
      <c r="C319" s="105" t="s">
        <v>577</v>
      </c>
      <c r="D319" s="105" t="s">
        <v>14</v>
      </c>
      <c r="E319" s="105" t="s">
        <v>15</v>
      </c>
      <c r="F319" s="105" t="s">
        <v>578</v>
      </c>
      <c r="G319" s="105" t="s">
        <v>148</v>
      </c>
    </row>
    <row r="320" spans="1:7" x14ac:dyDescent="0.25">
      <c r="A320" s="106">
        <v>2692</v>
      </c>
      <c r="B320" s="105" t="s">
        <v>181</v>
      </c>
      <c r="C320" s="105" t="s">
        <v>577</v>
      </c>
      <c r="D320" s="105" t="s">
        <v>14</v>
      </c>
      <c r="E320" s="105" t="s">
        <v>16</v>
      </c>
      <c r="F320" s="105" t="s">
        <v>579</v>
      </c>
      <c r="G320" s="105" t="s">
        <v>148</v>
      </c>
    </row>
    <row r="321" spans="1:7" x14ac:dyDescent="0.25">
      <c r="A321" s="106">
        <v>2696</v>
      </c>
      <c r="B321" s="105" t="s">
        <v>181</v>
      </c>
      <c r="C321" s="105" t="s">
        <v>577</v>
      </c>
      <c r="D321" s="105" t="s">
        <v>14</v>
      </c>
      <c r="E321" s="105" t="s">
        <v>17</v>
      </c>
      <c r="F321" s="105" t="s">
        <v>580</v>
      </c>
      <c r="G321" s="105" t="s">
        <v>148</v>
      </c>
    </row>
    <row r="322" spans="1:7" x14ac:dyDescent="0.25">
      <c r="A322" s="106">
        <v>2700</v>
      </c>
      <c r="B322" s="105" t="s">
        <v>181</v>
      </c>
      <c r="C322" s="105" t="s">
        <v>577</v>
      </c>
      <c r="D322" s="105" t="s">
        <v>14</v>
      </c>
      <c r="E322" s="105" t="s">
        <v>18</v>
      </c>
      <c r="F322" s="105" t="s">
        <v>581</v>
      </c>
      <c r="G322" s="105" t="s">
        <v>148</v>
      </c>
    </row>
    <row r="323" spans="1:7" x14ac:dyDescent="0.25">
      <c r="A323" s="106">
        <v>2703</v>
      </c>
      <c r="B323" s="105" t="s">
        <v>181</v>
      </c>
      <c r="C323" s="105" t="s">
        <v>577</v>
      </c>
      <c r="D323" s="105" t="s">
        <v>14</v>
      </c>
      <c r="E323" s="105" t="s">
        <v>19</v>
      </c>
      <c r="F323" s="105" t="s">
        <v>582</v>
      </c>
      <c r="G323" s="105" t="s">
        <v>148</v>
      </c>
    </row>
    <row r="324" spans="1:7" x14ac:dyDescent="0.25">
      <c r="A324" s="106">
        <v>2706</v>
      </c>
      <c r="B324" s="105" t="s">
        <v>181</v>
      </c>
      <c r="C324" s="105" t="s">
        <v>577</v>
      </c>
      <c r="D324" s="105" t="s">
        <v>14</v>
      </c>
      <c r="E324" s="105" t="s">
        <v>20</v>
      </c>
      <c r="F324" s="105" t="s">
        <v>583</v>
      </c>
      <c r="G324" s="105" t="s">
        <v>148</v>
      </c>
    </row>
    <row r="325" spans="1:7" x14ac:dyDescent="0.25">
      <c r="A325" s="106">
        <v>2719</v>
      </c>
      <c r="B325" s="105" t="s">
        <v>181</v>
      </c>
      <c r="C325" s="105" t="s">
        <v>577</v>
      </c>
      <c r="D325" s="105" t="s">
        <v>14</v>
      </c>
      <c r="E325" s="105" t="s">
        <v>189</v>
      </c>
      <c r="F325" s="105" t="s">
        <v>417</v>
      </c>
      <c r="G325" s="105" t="s">
        <v>148</v>
      </c>
    </row>
    <row r="326" spans="1:7" x14ac:dyDescent="0.25">
      <c r="A326" s="106">
        <v>2741</v>
      </c>
      <c r="B326" s="105" t="s">
        <v>181</v>
      </c>
      <c r="C326" s="105" t="s">
        <v>577</v>
      </c>
      <c r="D326" s="105" t="s">
        <v>14</v>
      </c>
      <c r="E326" s="105" t="s">
        <v>191</v>
      </c>
      <c r="F326" s="105" t="s">
        <v>418</v>
      </c>
      <c r="G326" s="105" t="s">
        <v>148</v>
      </c>
    </row>
    <row r="327" spans="1:7" x14ac:dyDescent="0.25">
      <c r="A327" s="106">
        <v>2763</v>
      </c>
      <c r="B327" s="105" t="s">
        <v>181</v>
      </c>
      <c r="C327" s="105" t="s">
        <v>577</v>
      </c>
      <c r="D327" s="105" t="s">
        <v>14</v>
      </c>
      <c r="E327" s="105" t="s">
        <v>14</v>
      </c>
      <c r="F327" s="105" t="s">
        <v>419</v>
      </c>
      <c r="G327" s="105" t="s">
        <v>148</v>
      </c>
    </row>
    <row r="328" spans="1:7" x14ac:dyDescent="0.25">
      <c r="A328" s="106">
        <v>2689</v>
      </c>
      <c r="B328" s="105" t="s">
        <v>181</v>
      </c>
      <c r="C328" s="105" t="s">
        <v>577</v>
      </c>
      <c r="D328" s="105" t="s">
        <v>21</v>
      </c>
      <c r="E328" s="105" t="s">
        <v>15</v>
      </c>
      <c r="F328" s="105" t="s">
        <v>584</v>
      </c>
      <c r="G328" s="105" t="s">
        <v>148</v>
      </c>
    </row>
    <row r="329" spans="1:7" x14ac:dyDescent="0.25">
      <c r="A329" s="106">
        <v>2693</v>
      </c>
      <c r="B329" s="105" t="s">
        <v>181</v>
      </c>
      <c r="C329" s="105" t="s">
        <v>577</v>
      </c>
      <c r="D329" s="105" t="s">
        <v>21</v>
      </c>
      <c r="E329" s="105" t="s">
        <v>16</v>
      </c>
      <c r="F329" s="105" t="s">
        <v>585</v>
      </c>
      <c r="G329" s="105" t="s">
        <v>148</v>
      </c>
    </row>
    <row r="330" spans="1:7" x14ac:dyDescent="0.25">
      <c r="A330" s="106">
        <v>2697</v>
      </c>
      <c r="B330" s="105" t="s">
        <v>181</v>
      </c>
      <c r="C330" s="105" t="s">
        <v>577</v>
      </c>
      <c r="D330" s="105" t="s">
        <v>21</v>
      </c>
      <c r="E330" s="105" t="s">
        <v>17</v>
      </c>
      <c r="F330" s="105" t="s">
        <v>586</v>
      </c>
      <c r="G330" s="105" t="s">
        <v>148</v>
      </c>
    </row>
    <row r="331" spans="1:7" x14ac:dyDescent="0.25">
      <c r="A331" s="106">
        <v>2701</v>
      </c>
      <c r="B331" s="105" t="s">
        <v>181</v>
      </c>
      <c r="C331" s="105" t="s">
        <v>577</v>
      </c>
      <c r="D331" s="105" t="s">
        <v>21</v>
      </c>
      <c r="E331" s="105" t="s">
        <v>18</v>
      </c>
      <c r="F331" s="105" t="s">
        <v>587</v>
      </c>
      <c r="G331" s="105" t="s">
        <v>148</v>
      </c>
    </row>
    <row r="332" spans="1:7" x14ac:dyDescent="0.25">
      <c r="A332" s="106">
        <v>2704</v>
      </c>
      <c r="B332" s="105" t="s">
        <v>181</v>
      </c>
      <c r="C332" s="105" t="s">
        <v>577</v>
      </c>
      <c r="D332" s="105" t="s">
        <v>21</v>
      </c>
      <c r="E332" s="105" t="s">
        <v>19</v>
      </c>
      <c r="F332" s="105" t="s">
        <v>588</v>
      </c>
      <c r="G332" s="105" t="s">
        <v>148</v>
      </c>
    </row>
    <row r="333" spans="1:7" x14ac:dyDescent="0.25">
      <c r="A333" s="106">
        <v>2707</v>
      </c>
      <c r="B333" s="105" t="s">
        <v>181</v>
      </c>
      <c r="C333" s="105" t="s">
        <v>577</v>
      </c>
      <c r="D333" s="105" t="s">
        <v>21</v>
      </c>
      <c r="E333" s="105" t="s">
        <v>20</v>
      </c>
      <c r="F333" s="105" t="s">
        <v>589</v>
      </c>
      <c r="G333" s="105" t="s">
        <v>148</v>
      </c>
    </row>
    <row r="334" spans="1:7" x14ac:dyDescent="0.25">
      <c r="A334" s="106">
        <v>2730</v>
      </c>
      <c r="B334" s="105" t="s">
        <v>181</v>
      </c>
      <c r="C334" s="105" t="s">
        <v>577</v>
      </c>
      <c r="D334" s="105" t="s">
        <v>21</v>
      </c>
      <c r="E334" s="105" t="s">
        <v>189</v>
      </c>
      <c r="F334" s="105" t="s">
        <v>426</v>
      </c>
      <c r="G334" s="105" t="s">
        <v>148</v>
      </c>
    </row>
    <row r="335" spans="1:7" x14ac:dyDescent="0.25">
      <c r="A335" s="106">
        <v>2752</v>
      </c>
      <c r="B335" s="105" t="s">
        <v>181</v>
      </c>
      <c r="C335" s="105" t="s">
        <v>577</v>
      </c>
      <c r="D335" s="105" t="s">
        <v>21</v>
      </c>
      <c r="E335" s="105" t="s">
        <v>191</v>
      </c>
      <c r="F335" s="105" t="s">
        <v>427</v>
      </c>
      <c r="G335" s="105" t="s">
        <v>148</v>
      </c>
    </row>
    <row r="336" spans="1:7" x14ac:dyDescent="0.25">
      <c r="A336" s="106">
        <v>2774</v>
      </c>
      <c r="B336" s="105" t="s">
        <v>181</v>
      </c>
      <c r="C336" s="105" t="s">
        <v>577</v>
      </c>
      <c r="D336" s="105" t="s">
        <v>21</v>
      </c>
      <c r="E336" s="105" t="s">
        <v>14</v>
      </c>
      <c r="F336" s="105" t="s">
        <v>428</v>
      </c>
      <c r="G336" s="105" t="s">
        <v>148</v>
      </c>
    </row>
    <row r="337" spans="1:7" x14ac:dyDescent="0.25">
      <c r="A337" s="106">
        <v>2690</v>
      </c>
      <c r="B337" s="105" t="s">
        <v>181</v>
      </c>
      <c r="C337" s="105" t="s">
        <v>577</v>
      </c>
      <c r="D337" s="105" t="s">
        <v>203</v>
      </c>
      <c r="E337" s="105" t="s">
        <v>15</v>
      </c>
      <c r="F337" s="105" t="s">
        <v>590</v>
      </c>
      <c r="G337" s="105" t="s">
        <v>148</v>
      </c>
    </row>
    <row r="338" spans="1:7" x14ac:dyDescent="0.25">
      <c r="A338" s="106">
        <v>2694</v>
      </c>
      <c r="B338" s="105" t="s">
        <v>181</v>
      </c>
      <c r="C338" s="105" t="s">
        <v>577</v>
      </c>
      <c r="D338" s="105" t="s">
        <v>203</v>
      </c>
      <c r="E338" s="105" t="s">
        <v>16</v>
      </c>
      <c r="F338" s="105" t="s">
        <v>591</v>
      </c>
      <c r="G338" s="105" t="s">
        <v>148</v>
      </c>
    </row>
    <row r="339" spans="1:7" x14ac:dyDescent="0.25">
      <c r="A339" s="106">
        <v>2698</v>
      </c>
      <c r="B339" s="105" t="s">
        <v>181</v>
      </c>
      <c r="C339" s="105" t="s">
        <v>577</v>
      </c>
      <c r="D339" s="105" t="s">
        <v>203</v>
      </c>
      <c r="E339" s="105" t="s">
        <v>17</v>
      </c>
      <c r="F339" s="105" t="s">
        <v>592</v>
      </c>
      <c r="G339" s="105" t="s">
        <v>148</v>
      </c>
    </row>
    <row r="340" spans="1:7" x14ac:dyDescent="0.25">
      <c r="A340" s="106">
        <v>2702</v>
      </c>
      <c r="B340" s="105" t="s">
        <v>181</v>
      </c>
      <c r="C340" s="105" t="s">
        <v>577</v>
      </c>
      <c r="D340" s="105" t="s">
        <v>203</v>
      </c>
      <c r="E340" s="105" t="s">
        <v>18</v>
      </c>
      <c r="F340" s="105" t="s">
        <v>593</v>
      </c>
      <c r="G340" s="105" t="s">
        <v>148</v>
      </c>
    </row>
    <row r="341" spans="1:7" x14ac:dyDescent="0.25">
      <c r="A341" s="106">
        <v>2705</v>
      </c>
      <c r="B341" s="105" t="s">
        <v>181</v>
      </c>
      <c r="C341" s="105" t="s">
        <v>577</v>
      </c>
      <c r="D341" s="105" t="s">
        <v>203</v>
      </c>
      <c r="E341" s="105" t="s">
        <v>19</v>
      </c>
      <c r="F341" s="105" t="s">
        <v>594</v>
      </c>
      <c r="G341" s="105" t="s">
        <v>148</v>
      </c>
    </row>
    <row r="342" spans="1:7" x14ac:dyDescent="0.25">
      <c r="A342" s="106">
        <v>2708</v>
      </c>
      <c r="B342" s="105" t="s">
        <v>181</v>
      </c>
      <c r="C342" s="105" t="s">
        <v>577</v>
      </c>
      <c r="D342" s="105" t="s">
        <v>203</v>
      </c>
      <c r="E342" s="105" t="s">
        <v>20</v>
      </c>
      <c r="F342" s="105" t="s">
        <v>595</v>
      </c>
      <c r="G342" s="105" t="s">
        <v>148</v>
      </c>
    </row>
    <row r="343" spans="1:7" x14ac:dyDescent="0.25">
      <c r="A343" s="106">
        <v>2691</v>
      </c>
      <c r="B343" s="105" t="s">
        <v>181</v>
      </c>
      <c r="C343" s="105" t="s">
        <v>577</v>
      </c>
      <c r="D343" s="105" t="s">
        <v>596</v>
      </c>
      <c r="E343" s="105" t="s">
        <v>15</v>
      </c>
      <c r="F343" s="105" t="s">
        <v>597</v>
      </c>
      <c r="G343" s="105" t="s">
        <v>148</v>
      </c>
    </row>
    <row r="344" spans="1:7" x14ac:dyDescent="0.25">
      <c r="A344" s="106">
        <v>2695</v>
      </c>
      <c r="B344" s="105" t="s">
        <v>181</v>
      </c>
      <c r="C344" s="105" t="s">
        <v>577</v>
      </c>
      <c r="D344" s="105" t="s">
        <v>596</v>
      </c>
      <c r="E344" s="105" t="s">
        <v>16</v>
      </c>
      <c r="F344" s="105" t="s">
        <v>598</v>
      </c>
      <c r="G344" s="105" t="s">
        <v>148</v>
      </c>
    </row>
    <row r="345" spans="1:7" x14ac:dyDescent="0.25">
      <c r="A345" s="106">
        <v>2699</v>
      </c>
      <c r="B345" s="105" t="s">
        <v>181</v>
      </c>
      <c r="C345" s="105" t="s">
        <v>577</v>
      </c>
      <c r="D345" s="105" t="s">
        <v>596</v>
      </c>
      <c r="E345" s="105" t="s">
        <v>17</v>
      </c>
      <c r="F345" s="105" t="s">
        <v>599</v>
      </c>
      <c r="G345" s="105" t="s">
        <v>148</v>
      </c>
    </row>
  </sheetData>
  <autoFilter ref="A2:G2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Lei 6.353-2026 com Reajuste 5%</vt:lpstr>
      <vt:lpstr>Lei 1023.2019</vt:lpstr>
      <vt:lpstr>Res. 306.2019</vt:lpstr>
      <vt:lpstr>Auxilios e IET.</vt:lpstr>
      <vt:lpstr>Lei 5.319.2022</vt:lpstr>
      <vt:lpstr>Lei 5.540.2023</vt:lpstr>
      <vt:lpstr>Lei 1.218.2024</vt:lpstr>
      <vt:lpstr>Lei 1.218 com Reajuste 4,62%</vt:lpstr>
      <vt:lpstr>Planilha2</vt:lpstr>
      <vt:lpstr>Siedos</vt:lpstr>
      <vt:lpstr>Lei 6.001 com Reajuste 5%</vt:lpstr>
      <vt:lpstr>Gratificação qualificação</vt:lpstr>
      <vt:lpstr>Vencimento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Georgem M. Moreira</dc:creator>
  <cp:keywords/>
  <dc:description/>
  <cp:lastModifiedBy>Jeferson Andrade de Freitas</cp:lastModifiedBy>
  <cp:revision/>
  <dcterms:created xsi:type="dcterms:W3CDTF">2022-10-06T12:13:55Z</dcterms:created>
  <dcterms:modified xsi:type="dcterms:W3CDTF">2026-04-30T14:39:15Z</dcterms:modified>
  <cp:category/>
  <cp:contentStatus/>
</cp:coreProperties>
</file>